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V kwartał\2024.03.15 ostateczne\BIP MF\Zbiorówki\"/>
    </mc:Choice>
  </mc:AlternateContent>
  <xr:revisionPtr revIDLastSave="0" documentId="13_ncr:1_{900B2255-F5D8-4F84-BD10-A16953A4B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0" i="4" l="1"/>
  <c r="C139" i="4"/>
  <c r="C138" i="4"/>
  <c r="C137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2" i="4"/>
  <c r="F122" i="4" s="1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F111" i="4" s="1"/>
  <c r="D110" i="4"/>
  <c r="C110" i="4"/>
  <c r="D109" i="4"/>
  <c r="C109" i="4"/>
  <c r="D108" i="4"/>
  <c r="C108" i="4"/>
  <c r="D107" i="4"/>
  <c r="C107" i="4"/>
  <c r="D106" i="4"/>
  <c r="C106" i="4"/>
  <c r="I98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1" i="4"/>
  <c r="H91" i="4"/>
  <c r="G91" i="4"/>
  <c r="F91" i="4"/>
  <c r="E91" i="4"/>
  <c r="D91" i="4"/>
  <c r="C91" i="4"/>
  <c r="I90" i="4"/>
  <c r="H90" i="4"/>
  <c r="H92" i="4" s="1"/>
  <c r="G90" i="4"/>
  <c r="F90" i="4"/>
  <c r="E90" i="4"/>
  <c r="D90" i="4"/>
  <c r="C90" i="4"/>
  <c r="I89" i="4"/>
  <c r="H89" i="4"/>
  <c r="G89" i="4"/>
  <c r="F89" i="4"/>
  <c r="E89" i="4"/>
  <c r="D89" i="4"/>
  <c r="J89" i="4" s="1"/>
  <c r="C89" i="4"/>
  <c r="I88" i="4"/>
  <c r="H88" i="4"/>
  <c r="G88" i="4"/>
  <c r="F88" i="4"/>
  <c r="E88" i="4"/>
  <c r="D88" i="4"/>
  <c r="C88" i="4"/>
  <c r="I87" i="4"/>
  <c r="H87" i="4"/>
  <c r="G87" i="4"/>
  <c r="F87" i="4"/>
  <c r="E87" i="4"/>
  <c r="D87" i="4"/>
  <c r="C87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72" i="4"/>
  <c r="H72" i="4"/>
  <c r="G72" i="4"/>
  <c r="F72" i="4"/>
  <c r="E72" i="4"/>
  <c r="D72" i="4"/>
  <c r="C72" i="4"/>
  <c r="K72" i="4" s="1"/>
  <c r="D69" i="4"/>
  <c r="C69" i="4"/>
  <c r="D68" i="4"/>
  <c r="C68" i="4"/>
  <c r="D66" i="4"/>
  <c r="C66" i="4"/>
  <c r="D65" i="4"/>
  <c r="C65" i="4"/>
  <c r="D64" i="4"/>
  <c r="C64" i="4"/>
  <c r="D62" i="4"/>
  <c r="C62" i="4"/>
  <c r="D61" i="4"/>
  <c r="C61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K52" i="4" s="1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C32" i="4" s="1"/>
  <c r="D36" i="4"/>
  <c r="C36" i="4"/>
  <c r="D35" i="4"/>
  <c r="C35" i="4"/>
  <c r="D34" i="4"/>
  <c r="C34" i="4"/>
  <c r="D33" i="4"/>
  <c r="C33" i="4"/>
  <c r="D31" i="4"/>
  <c r="C31" i="4"/>
  <c r="D30" i="4"/>
  <c r="J30" i="4" s="1"/>
  <c r="C30" i="4"/>
  <c r="D29" i="4"/>
  <c r="C29" i="4"/>
  <c r="K29" i="4" s="1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J18" i="4" s="1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K13" i="4" s="1"/>
  <c r="C13" i="4"/>
  <c r="I12" i="4"/>
  <c r="H12" i="4"/>
  <c r="G12" i="4"/>
  <c r="F12" i="4"/>
  <c r="E12" i="4"/>
  <c r="D12" i="4"/>
  <c r="C12" i="4"/>
  <c r="K12" i="4" s="1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E71" i="4" s="1"/>
  <c r="E73" i="4" s="1"/>
  <c r="D5" i="4"/>
  <c r="C5" i="4"/>
  <c r="K48" i="4"/>
  <c r="K98" i="4"/>
  <c r="C86" i="4"/>
  <c r="C92" i="4" s="1"/>
  <c r="K84" i="4"/>
  <c r="K88" i="4"/>
  <c r="K56" i="4"/>
  <c r="K49" i="4"/>
  <c r="K28" i="4"/>
  <c r="C67" i="4"/>
  <c r="K69" i="4"/>
  <c r="D99" i="4"/>
  <c r="D137" i="4"/>
  <c r="F121" i="4"/>
  <c r="F114" i="4"/>
  <c r="K42" i="4"/>
  <c r="K21" i="4"/>
  <c r="F115" i="4"/>
  <c r="K43" i="4"/>
  <c r="K62" i="4"/>
  <c r="K11" i="4"/>
  <c r="K19" i="4"/>
  <c r="C93" i="4"/>
  <c r="C71" i="4"/>
  <c r="K44" i="4"/>
  <c r="K54" i="4"/>
  <c r="C63" i="4"/>
  <c r="K64" i="4"/>
  <c r="F86" i="4"/>
  <c r="F92" i="4" s="1"/>
  <c r="J64" i="4"/>
  <c r="J37" i="4"/>
  <c r="J45" i="4"/>
  <c r="J15" i="4"/>
  <c r="J44" i="4"/>
  <c r="J33" i="4"/>
  <c r="J21" i="4"/>
  <c r="K9" i="4"/>
  <c r="D32" i="4"/>
  <c r="D63" i="4"/>
  <c r="G86" i="4"/>
  <c r="G92" i="4"/>
  <c r="K97" i="4"/>
  <c r="C99" i="4"/>
  <c r="K99" i="4"/>
  <c r="F109" i="4"/>
  <c r="F119" i="4"/>
  <c r="E99" i="4"/>
  <c r="K61" i="4"/>
  <c r="G99" i="4"/>
  <c r="K83" i="4"/>
  <c r="F107" i="4"/>
  <c r="F108" i="4"/>
  <c r="H6" i="4"/>
  <c r="H22" i="4"/>
  <c r="H71" i="4"/>
  <c r="H73" i="4"/>
  <c r="F113" i="4"/>
  <c r="K85" i="4"/>
  <c r="K30" i="4"/>
  <c r="K50" i="4"/>
  <c r="K16" i="4"/>
  <c r="E86" i="4"/>
  <c r="E92" i="4"/>
  <c r="F116" i="4"/>
  <c r="K14" i="4"/>
  <c r="K35" i="4"/>
  <c r="K17" i="4"/>
  <c r="K36" i="4"/>
  <c r="K55" i="4"/>
  <c r="H86" i="4"/>
  <c r="F120" i="4"/>
  <c r="K7" i="4"/>
  <c r="D67" i="4"/>
  <c r="I86" i="4"/>
  <c r="I92" i="4"/>
  <c r="K90" i="4"/>
  <c r="I99" i="4"/>
  <c r="F110" i="4"/>
  <c r="F117" i="4"/>
  <c r="K8" i="4"/>
  <c r="K20" i="4"/>
  <c r="K31" i="4"/>
  <c r="K38" i="4"/>
  <c r="K45" i="4"/>
  <c r="K51" i="4"/>
  <c r="K57" i="4"/>
  <c r="K65" i="4"/>
  <c r="K87" i="4"/>
  <c r="J98" i="4"/>
  <c r="J99" i="4"/>
  <c r="J97" i="4"/>
  <c r="E122" i="4"/>
  <c r="E119" i="4"/>
  <c r="E120" i="4"/>
  <c r="E118" i="4"/>
  <c r="E121" i="4"/>
  <c r="E117" i="4"/>
  <c r="F71" i="4"/>
  <c r="F73" i="4" s="1"/>
  <c r="F6" i="4"/>
  <c r="K15" i="4"/>
  <c r="F106" i="4"/>
  <c r="F112" i="4"/>
  <c r="F118" i="4"/>
  <c r="G71" i="4"/>
  <c r="G73" i="4"/>
  <c r="G6" i="4"/>
  <c r="K26" i="4"/>
  <c r="C25" i="4"/>
  <c r="K33" i="4"/>
  <c r="K40" i="4"/>
  <c r="C39" i="4"/>
  <c r="K46" i="4"/>
  <c r="K58" i="4"/>
  <c r="K66" i="4"/>
  <c r="F99" i="4"/>
  <c r="E106" i="4"/>
  <c r="E114" i="4"/>
  <c r="E115" i="4"/>
  <c r="E110" i="4"/>
  <c r="E116" i="4"/>
  <c r="E109" i="4"/>
  <c r="E108" i="4"/>
  <c r="E113" i="4"/>
  <c r="E111" i="4"/>
  <c r="E107" i="4"/>
  <c r="E112" i="4"/>
  <c r="I71" i="4"/>
  <c r="I73" i="4"/>
  <c r="I6" i="4"/>
  <c r="K27" i="4"/>
  <c r="K34" i="4"/>
  <c r="K41" i="4"/>
  <c r="K47" i="4"/>
  <c r="K53" i="4"/>
  <c r="K59" i="4"/>
  <c r="K68" i="4"/>
  <c r="J85" i="4"/>
  <c r="J84" i="4"/>
  <c r="J91" i="4"/>
  <c r="D86" i="4"/>
  <c r="J86" i="4" s="1"/>
  <c r="J88" i="4"/>
  <c r="J83" i="4"/>
  <c r="J90" i="4"/>
  <c r="J87" i="4"/>
  <c r="K91" i="4"/>
  <c r="H99" i="4"/>
  <c r="B101" i="4"/>
  <c r="B76" i="4"/>
  <c r="B1" i="4"/>
  <c r="K63" i="4" l="1"/>
  <c r="K67" i="4"/>
  <c r="C60" i="4"/>
  <c r="K89" i="4"/>
  <c r="K86" i="4"/>
  <c r="D92" i="4"/>
  <c r="J67" i="4"/>
  <c r="D60" i="4"/>
  <c r="K60" i="4" s="1"/>
  <c r="D39" i="4"/>
  <c r="K39" i="4" s="1"/>
  <c r="J52" i="4"/>
  <c r="C24" i="4"/>
  <c r="C23" i="4" s="1"/>
  <c r="C6" i="4" s="1"/>
  <c r="C22" i="4" s="1"/>
  <c r="K37" i="4"/>
  <c r="K32" i="4"/>
  <c r="D25" i="4"/>
  <c r="K25" i="4"/>
  <c r="F22" i="4"/>
  <c r="K18" i="4"/>
  <c r="G22" i="4"/>
  <c r="K10" i="4"/>
  <c r="I22" i="4"/>
  <c r="E6" i="4"/>
  <c r="E22" i="4" s="1"/>
  <c r="J25" i="4"/>
  <c r="J42" i="4"/>
  <c r="D93" i="4"/>
  <c r="J26" i="4"/>
  <c r="J54" i="4"/>
  <c r="J20" i="4"/>
  <c r="J29" i="4"/>
  <c r="J40" i="4"/>
  <c r="J32" i="4"/>
  <c r="J58" i="4"/>
  <c r="J65" i="4"/>
  <c r="J55" i="4"/>
  <c r="K5" i="4"/>
  <c r="J48" i="4"/>
  <c r="J41" i="4"/>
  <c r="J11" i="4"/>
  <c r="J35" i="4"/>
  <c r="J31" i="4"/>
  <c r="J34" i="4"/>
  <c r="J16" i="4"/>
  <c r="J46" i="4"/>
  <c r="J12" i="4"/>
  <c r="J51" i="4"/>
  <c r="J59" i="4"/>
  <c r="J66" i="4"/>
  <c r="J27" i="4"/>
  <c r="J36" i="4"/>
  <c r="J50" i="4"/>
  <c r="J72" i="4"/>
  <c r="J43" i="4"/>
  <c r="J57" i="4"/>
  <c r="J63" i="4"/>
  <c r="J47" i="4"/>
  <c r="J19" i="4"/>
  <c r="J10" i="4"/>
  <c r="J68" i="4"/>
  <c r="J61" i="4"/>
  <c r="J53" i="4"/>
  <c r="J8" i="4"/>
  <c r="J73" i="4"/>
  <c r="J38" i="4"/>
  <c r="J69" i="4"/>
  <c r="J13" i="4"/>
  <c r="J14" i="4"/>
  <c r="J7" i="4"/>
  <c r="J62" i="4"/>
  <c r="J49" i="4"/>
  <c r="J9" i="4"/>
  <c r="D71" i="4"/>
  <c r="D73" i="4" s="1"/>
  <c r="D94" i="4" s="1"/>
  <c r="J5" i="4"/>
  <c r="J28" i="4"/>
  <c r="J56" i="4"/>
  <c r="J17" i="4"/>
  <c r="C73" i="4"/>
  <c r="J92" i="4" l="1"/>
  <c r="K92" i="4"/>
  <c r="J60" i="4"/>
  <c r="D24" i="4"/>
  <c r="D23" i="4" s="1"/>
  <c r="J39" i="4"/>
  <c r="J24" i="4"/>
  <c r="K24" i="4"/>
  <c r="K71" i="4"/>
  <c r="J71" i="4"/>
  <c r="K73" i="4"/>
  <c r="C94" i="4"/>
  <c r="K23" i="4" l="1"/>
  <c r="J23" i="4"/>
  <c r="D6" i="4"/>
  <c r="J6" i="4" l="1"/>
  <c r="L6" i="4"/>
  <c r="L12" i="4"/>
  <c r="L21" i="4"/>
  <c r="L14" i="4"/>
  <c r="L15" i="4"/>
  <c r="L16" i="4"/>
  <c r="L7" i="4"/>
  <c r="L20" i="4"/>
  <c r="L10" i="4"/>
  <c r="L8" i="4"/>
  <c r="L17" i="4"/>
  <c r="K6" i="4"/>
  <c r="L19" i="4"/>
  <c r="L13" i="4"/>
  <c r="D22" i="4"/>
  <c r="L11" i="4"/>
  <c r="L9" i="4"/>
  <c r="L18" i="4"/>
  <c r="K22" i="4" l="1"/>
  <c r="J22" i="4"/>
  <c r="L22" i="4"/>
</calcChain>
</file>

<file path=xl/sharedStrings.xml><?xml version="1.0" encoding="utf-8"?>
<sst xmlns="http://schemas.openxmlformats.org/spreadsheetml/2006/main" count="389" uniqueCount="125">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</sst>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5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5" fontId="34" fillId="0" borderId="10" xfId="0" applyNumberFormat="1" applyFont="1" applyFill="1" applyBorder="1" applyAlignment="1">
      <alignment horizontal="center" vertical="center"/>
    </xf>
    <xf numFmtId="165" fontId="34" fillId="20" borderId="10" xfId="28" applyNumberFormat="1" applyFont="1" applyFill="1" applyBorder="1" applyAlignment="1">
      <alignment horizontal="center" vertical="center"/>
    </xf>
    <xf numFmtId="165" fontId="34" fillId="22" borderId="10" xfId="28" applyNumberFormat="1" applyFont="1" applyFill="1" applyBorder="1" applyAlignment="1">
      <alignment horizontal="center" vertical="center"/>
    </xf>
    <xf numFmtId="165" fontId="34" fillId="22" borderId="10" xfId="0" applyNumberFormat="1" applyFont="1" applyFill="1" applyBorder="1" applyAlignment="1">
      <alignment horizontal="center" vertical="center"/>
    </xf>
    <xf numFmtId="165" fontId="34" fillId="0" borderId="10" xfId="28" applyNumberFormat="1" applyFont="1" applyFill="1" applyBorder="1" applyAlignment="1">
      <alignment horizontal="center" vertical="center"/>
    </xf>
    <xf numFmtId="165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0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",$D$137," ",$C$138," rok    ",$C$140,"")</f>
        <v xml:space="preserve">Informacja z wykonania budżetów miast na prawach powiatu za IV Kwartały 2023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12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12"/>
      <c r="C3" s="119" t="s">
        <v>78</v>
      </c>
      <c r="D3" s="120"/>
      <c r="E3" s="120"/>
      <c r="F3" s="120"/>
      <c r="G3" s="120"/>
      <c r="H3" s="120"/>
      <c r="I3" s="121"/>
      <c r="J3" s="127" t="s">
        <v>4</v>
      </c>
      <c r="K3" s="127"/>
      <c r="L3" s="127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115700422243.66</f>
        <v>115700422243.66</v>
      </c>
      <c r="D5" s="67">
        <f>114341967602.55</f>
        <v>114341967602.55</v>
      </c>
      <c r="E5" s="67">
        <f>654836163.33</f>
        <v>654836163.33000004</v>
      </c>
      <c r="F5" s="67">
        <f>129675716.7</f>
        <v>129675716.7</v>
      </c>
      <c r="G5" s="67">
        <f>42502298.84</f>
        <v>42502298.840000004</v>
      </c>
      <c r="H5" s="67">
        <f>66794396.06</f>
        <v>66794396.060000002</v>
      </c>
      <c r="I5" s="67">
        <f>1420686.91</f>
        <v>1420686.91</v>
      </c>
      <c r="J5" s="16">
        <f t="shared" ref="J5:J73" si="0">IF($D$5=0,"",100*$D5/$D$5)</f>
        <v>100</v>
      </c>
      <c r="K5" s="16">
        <f t="shared" ref="K5:K49" si="1">IF(C5=0,"",100*D5/C5)</f>
        <v>98.825886185402894</v>
      </c>
      <c r="L5" s="16"/>
    </row>
    <row r="6" spans="2:13" ht="25.5" customHeight="1" x14ac:dyDescent="0.2">
      <c r="B6" s="88" t="s">
        <v>57</v>
      </c>
      <c r="C6" s="67">
        <f>C5-C23-C60</f>
        <v>67900887820.770004</v>
      </c>
      <c r="D6" s="67">
        <f>D5-D23-D60</f>
        <v>67901790643.940002</v>
      </c>
      <c r="E6" s="67">
        <f>E5</f>
        <v>654836163.33000004</v>
      </c>
      <c r="F6" s="67">
        <f>F5</f>
        <v>129675716.7</v>
      </c>
      <c r="G6" s="67">
        <f>G5</f>
        <v>42502298.840000004</v>
      </c>
      <c r="H6" s="67">
        <f>H5</f>
        <v>66794396.060000002</v>
      </c>
      <c r="I6" s="67">
        <f>I5</f>
        <v>1420686.91</v>
      </c>
      <c r="J6" s="16">
        <f t="shared" si="0"/>
        <v>59.384836615690425</v>
      </c>
      <c r="K6" s="16">
        <f t="shared" si="1"/>
        <v>100.00132961909479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4125436276</f>
        <v>4125436276</v>
      </c>
      <c r="D7" s="68">
        <f>4125436276</f>
        <v>4125436276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3.6079808337214554</v>
      </c>
      <c r="K7" s="18">
        <f t="shared" si="1"/>
        <v>100</v>
      </c>
      <c r="L7" s="18">
        <f t="shared" si="2"/>
        <v>6.0755927595971002</v>
      </c>
    </row>
    <row r="8" spans="2:13" ht="33.75" outlineLevel="1" x14ac:dyDescent="0.2">
      <c r="B8" s="10" t="s">
        <v>59</v>
      </c>
      <c r="C8" s="69">
        <f>860746764</f>
        <v>860746764</v>
      </c>
      <c r="D8" s="69">
        <f>860746764</f>
        <v>860746764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0.75278288632563639</v>
      </c>
      <c r="K8" s="18">
        <f t="shared" si="1"/>
        <v>100</v>
      </c>
      <c r="L8" s="18">
        <f t="shared" si="2"/>
        <v>1.2676348529798582</v>
      </c>
    </row>
    <row r="9" spans="2:13" ht="33.75" outlineLevel="1" x14ac:dyDescent="0.2">
      <c r="B9" s="10" t="s">
        <v>60</v>
      </c>
      <c r="C9" s="69">
        <f>17879541639</f>
        <v>17879541639</v>
      </c>
      <c r="D9" s="69">
        <f>17879541639</f>
        <v>17879541639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15.636902192508062</v>
      </c>
      <c r="K9" s="18">
        <f t="shared" si="1"/>
        <v>100</v>
      </c>
      <c r="L9" s="18">
        <f t="shared" si="2"/>
        <v>26.331472954455418</v>
      </c>
    </row>
    <row r="10" spans="2:13" ht="33.75" outlineLevel="1" x14ac:dyDescent="0.2">
      <c r="B10" s="10" t="s">
        <v>61</v>
      </c>
      <c r="C10" s="69">
        <f>4772533904</f>
        <v>4772533904</v>
      </c>
      <c r="D10" s="69">
        <f>4772533904</f>
        <v>4772533904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4.1739126972077445</v>
      </c>
      <c r="K10" s="18">
        <f t="shared" si="1"/>
        <v>100</v>
      </c>
      <c r="L10" s="18">
        <f t="shared" si="2"/>
        <v>7.0285832799697046</v>
      </c>
    </row>
    <row r="11" spans="2:13" ht="12.95" customHeight="1" outlineLevel="1" x14ac:dyDescent="0.2">
      <c r="B11" s="10" t="s">
        <v>17</v>
      </c>
      <c r="C11" s="69">
        <f>27827212</f>
        <v>27827212</v>
      </c>
      <c r="D11" s="69">
        <f>28144468.25</f>
        <v>28144468.25</v>
      </c>
      <c r="E11" s="69">
        <f>762072.72</f>
        <v>762072.72</v>
      </c>
      <c r="F11" s="69">
        <f>11198.61</f>
        <v>11198.61</v>
      </c>
      <c r="G11" s="69">
        <f>18801.6</f>
        <v>18801.599999999999</v>
      </c>
      <c r="H11" s="69">
        <f>38873.7</f>
        <v>38873.699999999997</v>
      </c>
      <c r="I11" s="69">
        <f>0</f>
        <v>0</v>
      </c>
      <c r="J11" s="18">
        <f t="shared" si="0"/>
        <v>2.4614294156481118E-2</v>
      </c>
      <c r="K11" s="18">
        <f t="shared" si="1"/>
        <v>101.14009355303003</v>
      </c>
      <c r="L11" s="18">
        <f t="shared" si="2"/>
        <v>4.1448786524029314E-2</v>
      </c>
    </row>
    <row r="12" spans="2:13" ht="12.95" customHeight="1" outlineLevel="1" x14ac:dyDescent="0.2">
      <c r="B12" s="10" t="s">
        <v>18</v>
      </c>
      <c r="C12" s="69">
        <f>11781119112.67</f>
        <v>11781119112.67</v>
      </c>
      <c r="D12" s="70">
        <f>11806442892.36</f>
        <v>11806442892.360001</v>
      </c>
      <c r="E12" s="69">
        <f>246219736.21</f>
        <v>246219736.21000001</v>
      </c>
      <c r="F12" s="69">
        <f>129302607.94</f>
        <v>129302607.94</v>
      </c>
      <c r="G12" s="69">
        <f>22386972.73</f>
        <v>22386972.73</v>
      </c>
      <c r="H12" s="69">
        <f>50506985.25</f>
        <v>50506985.25</v>
      </c>
      <c r="I12" s="69">
        <f>1152359.3</f>
        <v>1152359.3</v>
      </c>
      <c r="J12" s="18">
        <f t="shared" si="0"/>
        <v>10.325555121981912</v>
      </c>
      <c r="K12" s="18">
        <f t="shared" si="1"/>
        <v>100.21495224220902</v>
      </c>
      <c r="L12" s="18">
        <f t="shared" si="2"/>
        <v>17.38752804660194</v>
      </c>
    </row>
    <row r="13" spans="2:13" ht="12.95" customHeight="1" outlineLevel="1" x14ac:dyDescent="0.2">
      <c r="B13" s="10" t="s">
        <v>19</v>
      </c>
      <c r="C13" s="69">
        <f>6385589</f>
        <v>6385589</v>
      </c>
      <c r="D13" s="70">
        <f>7649161.97</f>
        <v>7649161.9699999997</v>
      </c>
      <c r="E13" s="69">
        <f>0</f>
        <v>0</v>
      </c>
      <c r="F13" s="69">
        <f>42843.65</f>
        <v>42843.65</v>
      </c>
      <c r="G13" s="69">
        <f>4042.79</f>
        <v>4042.79</v>
      </c>
      <c r="H13" s="69">
        <f>1094.59</f>
        <v>1094.5899999999999</v>
      </c>
      <c r="I13" s="69">
        <f>0</f>
        <v>0</v>
      </c>
      <c r="J13" s="18">
        <f t="shared" si="0"/>
        <v>6.6897239311014024E-3</v>
      </c>
      <c r="K13" s="18">
        <f t="shared" si="1"/>
        <v>119.78788440659116</v>
      </c>
      <c r="L13" s="18">
        <f t="shared" si="2"/>
        <v>1.1265037191891288E-2</v>
      </c>
    </row>
    <row r="14" spans="2:13" ht="12.95" customHeight="1" outlineLevel="1" x14ac:dyDescent="0.2">
      <c r="B14" s="10" t="s">
        <v>20</v>
      </c>
      <c r="C14" s="69">
        <f>400101113</f>
        <v>400101113</v>
      </c>
      <c r="D14" s="70">
        <f>390034470.64</f>
        <v>390034470.63999999</v>
      </c>
      <c r="E14" s="69">
        <f>404409632.33</f>
        <v>404409632.32999998</v>
      </c>
      <c r="F14" s="69">
        <f>319066.5</f>
        <v>319066.5</v>
      </c>
      <c r="G14" s="69">
        <f>272897.89</f>
        <v>272897.89</v>
      </c>
      <c r="H14" s="69">
        <f>926129.03</f>
        <v>926129.03</v>
      </c>
      <c r="I14" s="69">
        <f>0</f>
        <v>0</v>
      </c>
      <c r="J14" s="18">
        <f t="shared" si="0"/>
        <v>0.34111226071931056</v>
      </c>
      <c r="K14" s="18">
        <f t="shared" si="1"/>
        <v>97.483975416984151</v>
      </c>
      <c r="L14" s="18">
        <f t="shared" si="2"/>
        <v>0.57440969809653941</v>
      </c>
    </row>
    <row r="15" spans="2:13" ht="33.75" outlineLevel="1" x14ac:dyDescent="0.2">
      <c r="B15" s="10" t="s">
        <v>36</v>
      </c>
      <c r="C15" s="69">
        <f>95869260.35</f>
        <v>95869260.349999994</v>
      </c>
      <c r="D15" s="70">
        <f>88334111.89</f>
        <v>88334111.890000001</v>
      </c>
      <c r="E15" s="69">
        <f>0</f>
        <v>0</v>
      </c>
      <c r="F15" s="69">
        <f>0</f>
        <v>0</v>
      </c>
      <c r="G15" s="69">
        <f>5295.77</f>
        <v>5295.77</v>
      </c>
      <c r="H15" s="69">
        <f>251523.23</f>
        <v>251523.23</v>
      </c>
      <c r="I15" s="69">
        <f>0</f>
        <v>0</v>
      </c>
      <c r="J15" s="18">
        <f t="shared" si="0"/>
        <v>7.7254322050016935E-2</v>
      </c>
      <c r="K15" s="18">
        <f t="shared" si="1"/>
        <v>92.140182961159155</v>
      </c>
      <c r="L15" s="18">
        <f t="shared" si="2"/>
        <v>0.13009099031452936</v>
      </c>
    </row>
    <row r="16" spans="2:13" ht="12.95" customHeight="1" outlineLevel="1" x14ac:dyDescent="0.2">
      <c r="B16" s="10" t="s">
        <v>25</v>
      </c>
      <c r="C16" s="69">
        <f>256999813.4</f>
        <v>256999813.40000001</v>
      </c>
      <c r="D16" s="70">
        <f>329671037.79</f>
        <v>329671037.79000002</v>
      </c>
      <c r="E16" s="69">
        <f>0</f>
        <v>0</v>
      </c>
      <c r="F16" s="69">
        <f>0</f>
        <v>0</v>
      </c>
      <c r="G16" s="69">
        <f>1470942.59</f>
        <v>1470942.59</v>
      </c>
      <c r="H16" s="69">
        <f>8170244.92</f>
        <v>8170244.9199999999</v>
      </c>
      <c r="I16" s="69">
        <f>0</f>
        <v>0</v>
      </c>
      <c r="J16" s="18">
        <f t="shared" si="0"/>
        <v>0.28832024207938139</v>
      </c>
      <c r="K16" s="18">
        <f t="shared" si="1"/>
        <v>128.27676153869146</v>
      </c>
      <c r="L16" s="18">
        <f t="shared" si="2"/>
        <v>0.48551155229279958</v>
      </c>
    </row>
    <row r="17" spans="2:12" ht="22.5" customHeight="1" outlineLevel="1" x14ac:dyDescent="0.2">
      <c r="B17" s="10" t="s">
        <v>26</v>
      </c>
      <c r="C17" s="69">
        <f>2109349833.92</f>
        <v>2109349833.9200001</v>
      </c>
      <c r="D17" s="70">
        <f>2234379675.37</f>
        <v>2234379675.3699999</v>
      </c>
      <c r="E17" s="69">
        <f>0</f>
        <v>0</v>
      </c>
      <c r="F17" s="69">
        <f>0</f>
        <v>0</v>
      </c>
      <c r="G17" s="69">
        <f>133271.41</f>
        <v>133271.41</v>
      </c>
      <c r="H17" s="69">
        <f>655072.7</f>
        <v>655072.69999999995</v>
      </c>
      <c r="I17" s="69">
        <f>0</f>
        <v>0</v>
      </c>
      <c r="J17" s="18">
        <f t="shared" si="0"/>
        <v>1.9541203656182053</v>
      </c>
      <c r="K17" s="18">
        <f t="shared" si="1"/>
        <v>105.927411349195</v>
      </c>
      <c r="L17" s="18">
        <f t="shared" si="2"/>
        <v>3.2906049371901367</v>
      </c>
    </row>
    <row r="18" spans="2:12" ht="12.95" customHeight="1" outlineLevel="1" x14ac:dyDescent="0.2">
      <c r="B18" s="10" t="s">
        <v>50</v>
      </c>
      <c r="C18" s="69">
        <f>399364194</f>
        <v>399364194</v>
      </c>
      <c r="D18" s="70">
        <f>443312888.27</f>
        <v>443312888.26999998</v>
      </c>
      <c r="E18" s="69">
        <f>0</f>
        <v>0</v>
      </c>
      <c r="F18" s="69">
        <f>0</f>
        <v>0</v>
      </c>
      <c r="G18" s="69">
        <f>4889</f>
        <v>4889</v>
      </c>
      <c r="H18" s="69">
        <f>0</f>
        <v>0</v>
      </c>
      <c r="I18" s="69">
        <f>0</f>
        <v>0</v>
      </c>
      <c r="J18" s="18">
        <f t="shared" si="0"/>
        <v>0.38770794098186695</v>
      </c>
      <c r="K18" s="18">
        <f t="shared" si="1"/>
        <v>111.00466564861847</v>
      </c>
      <c r="L18" s="18">
        <f t="shared" si="2"/>
        <v>0.65287363420888533</v>
      </c>
    </row>
    <row r="19" spans="2:12" ht="12.95" customHeight="1" outlineLevel="1" x14ac:dyDescent="0.2">
      <c r="B19" s="10" t="s">
        <v>51</v>
      </c>
      <c r="C19" s="69">
        <f>9419608.4</f>
        <v>9419608.4000000004</v>
      </c>
      <c r="D19" s="70">
        <f>9634468.89</f>
        <v>9634468.8900000006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8.4260128560050569E-3</v>
      </c>
      <c r="K19" s="18">
        <f t="shared" si="1"/>
        <v>102.28099174483728</v>
      </c>
      <c r="L19" s="18">
        <f t="shared" si="2"/>
        <v>1.4188828893365632E-2</v>
      </c>
    </row>
    <row r="20" spans="2:12" ht="12.95" customHeight="1" outlineLevel="1" x14ac:dyDescent="0.2">
      <c r="B20" s="10" t="s">
        <v>52</v>
      </c>
      <c r="C20" s="69">
        <f>14000759.5</f>
        <v>14000759.5</v>
      </c>
      <c r="D20" s="70">
        <f>13196986.48</f>
        <v>13196986.48</v>
      </c>
      <c r="E20" s="69">
        <f>0</f>
        <v>0</v>
      </c>
      <c r="F20" s="69">
        <f>0</f>
        <v>0</v>
      </c>
      <c r="G20" s="69">
        <f>600</f>
        <v>600</v>
      </c>
      <c r="H20" s="69">
        <f>21701.8</f>
        <v>21701.8</v>
      </c>
      <c r="I20" s="69">
        <f>0</f>
        <v>0</v>
      </c>
      <c r="J20" s="18">
        <f t="shared" si="0"/>
        <v>1.1541682163343923E-2</v>
      </c>
      <c r="K20" s="18">
        <f t="shared" si="1"/>
        <v>94.259075588006496</v>
      </c>
      <c r="L20" s="18">
        <f t="shared" si="2"/>
        <v>1.9435402740999416E-2</v>
      </c>
    </row>
    <row r="21" spans="2:12" ht="12.95" customHeight="1" outlineLevel="1" x14ac:dyDescent="0.2">
      <c r="B21" s="10" t="s">
        <v>21</v>
      </c>
      <c r="C21" s="69">
        <f>5677364490.71</f>
        <v>5677364490.71</v>
      </c>
      <c r="D21" s="70">
        <f>5303054245.8</f>
        <v>5303054245.8000002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4.6378896191757804</v>
      </c>
      <c r="K21" s="18">
        <f t="shared" si="1"/>
        <v>93.406971746793914</v>
      </c>
      <c r="L21" s="18">
        <f t="shared" si="2"/>
        <v>7.8098886575876758</v>
      </c>
    </row>
    <row r="22" spans="2:12" ht="12.95" customHeight="1" outlineLevel="1" x14ac:dyDescent="0.2">
      <c r="B22" s="10" t="s">
        <v>22</v>
      </c>
      <c r="C22" s="69">
        <f>C6-SUM(C7:C21)</f>
        <v>19484828250.820007</v>
      </c>
      <c r="D22" s="69">
        <f t="shared" ref="D22:I22" si="3">D6-SUM(D7:D21)</f>
        <v>19609677653.229996</v>
      </c>
      <c r="E22" s="69">
        <f t="shared" si="3"/>
        <v>3444722.0700000525</v>
      </c>
      <c r="F22" s="69">
        <f t="shared" si="3"/>
        <v>0</v>
      </c>
      <c r="G22" s="69">
        <f t="shared" si="3"/>
        <v>18204585.060000002</v>
      </c>
      <c r="H22" s="69">
        <f t="shared" si="3"/>
        <v>6222770.8399999961</v>
      </c>
      <c r="I22" s="69">
        <f t="shared" si="3"/>
        <v>268327.60999999987</v>
      </c>
      <c r="J22" s="18">
        <f t="shared" si="0"/>
        <v>17.150026420214122</v>
      </c>
      <c r="K22" s="18">
        <f t="shared" si="1"/>
        <v>100.64075187526856</v>
      </c>
      <c r="L22" s="18">
        <f t="shared" si="2"/>
        <v>28.879470581355118</v>
      </c>
    </row>
    <row r="23" spans="2:12" ht="26.25" customHeight="1" x14ac:dyDescent="0.2">
      <c r="B23" s="88" t="s">
        <v>106</v>
      </c>
      <c r="C23" s="67">
        <f>C24+C56+C58</f>
        <v>19486927033.000004</v>
      </c>
      <c r="D23" s="67">
        <f>D24+D56+D58</f>
        <v>18027408090.440002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15.766221684327535</v>
      </c>
      <c r="K23" s="16">
        <f t="shared" si="1"/>
        <v>92.51026629243087</v>
      </c>
      <c r="L23" s="21"/>
    </row>
    <row r="24" spans="2:12" ht="25.5" customHeight="1" outlineLevel="1" x14ac:dyDescent="0.2">
      <c r="B24" s="90" t="s">
        <v>62</v>
      </c>
      <c r="C24" s="67">
        <f>C25+C32+C39</f>
        <v>13758926497.330002</v>
      </c>
      <c r="D24" s="67">
        <f>D25+D32+D39</f>
        <v>13384661968.18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11.705817425413537</v>
      </c>
      <c r="K24" s="16">
        <f t="shared" si="1"/>
        <v>97.279842077631343</v>
      </c>
      <c r="L24" s="22"/>
    </row>
    <row r="25" spans="2:12" ht="13.5" customHeight="1" outlineLevel="1" x14ac:dyDescent="0.2">
      <c r="B25" s="91" t="s">
        <v>53</v>
      </c>
      <c r="C25" s="67">
        <f>C26+C28+C30</f>
        <v>6108114948.54</v>
      </c>
      <c r="D25" s="67">
        <f>D26+D28+D30</f>
        <v>6044282596.5799999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5.2861453439298725</v>
      </c>
      <c r="K25" s="16">
        <f t="shared" si="1"/>
        <v>98.95495824001712</v>
      </c>
      <c r="L25" s="22"/>
    </row>
    <row r="26" spans="2:12" ht="22.5" customHeight="1" outlineLevel="1" x14ac:dyDescent="0.2">
      <c r="B26" s="93" t="s">
        <v>112</v>
      </c>
      <c r="C26" s="68">
        <f>4308118868.44</f>
        <v>4308118868.4399996</v>
      </c>
      <c r="D26" s="71">
        <f>4273477620.39</f>
        <v>4273477620.3899999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3.737453281584683</v>
      </c>
      <c r="K26" s="18">
        <f t="shared" si="1"/>
        <v>99.195907793915083</v>
      </c>
      <c r="L26" s="22"/>
    </row>
    <row r="27" spans="2:12" ht="12.95" customHeight="1" outlineLevel="1" x14ac:dyDescent="0.2">
      <c r="B27" s="95" t="s">
        <v>6</v>
      </c>
      <c r="C27" s="69">
        <f>3951331.55</f>
        <v>3951331.55</v>
      </c>
      <c r="D27" s="69">
        <f>3923442.13</f>
        <v>3923442.13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3.4313229099203475E-3</v>
      </c>
      <c r="K27" s="18">
        <f t="shared" si="1"/>
        <v>99.294176668115838</v>
      </c>
      <c r="L27" s="22"/>
    </row>
    <row r="28" spans="2:12" ht="13.5" customHeight="1" outlineLevel="1" x14ac:dyDescent="0.2">
      <c r="B28" s="93" t="s">
        <v>113</v>
      </c>
      <c r="C28" s="69">
        <f>1774002001.4</f>
        <v>1774002001.4000001</v>
      </c>
      <c r="D28" s="70">
        <f>1745557117.49</f>
        <v>1745557117.49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1.5266110546195213</v>
      </c>
      <c r="K28" s="18">
        <f t="shared" si="1"/>
        <v>98.396569796000676</v>
      </c>
      <c r="L28" s="22"/>
    </row>
    <row r="29" spans="2:12" ht="12.95" customHeight="1" outlineLevel="1" x14ac:dyDescent="0.2">
      <c r="B29" s="95" t="s">
        <v>6</v>
      </c>
      <c r="C29" s="69">
        <f>306829842.49</f>
        <v>306829842.49000001</v>
      </c>
      <c r="D29" s="69">
        <f>312510976.91</f>
        <v>312510976.91000003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0.27331257583067037</v>
      </c>
      <c r="K29" s="18">
        <f t="shared" si="1"/>
        <v>101.85155862737999</v>
      </c>
      <c r="L29" s="22"/>
    </row>
    <row r="30" spans="2:12" ht="33.75" outlineLevel="1" x14ac:dyDescent="0.2">
      <c r="B30" s="93" t="s">
        <v>8</v>
      </c>
      <c r="C30" s="69">
        <f>25994078.7</f>
        <v>25994078.699999999</v>
      </c>
      <c r="D30" s="70">
        <f>25247858.7</f>
        <v>25247858.699999999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2.2081007725668116E-2</v>
      </c>
      <c r="K30" s="18">
        <f t="shared" si="1"/>
        <v>97.129269290086441</v>
      </c>
      <c r="L30" s="22"/>
    </row>
    <row r="31" spans="2:12" ht="12.95" customHeight="1" outlineLevel="1" x14ac:dyDescent="0.2">
      <c r="B31" s="95" t="s">
        <v>6</v>
      </c>
      <c r="C31" s="69">
        <f>2068784.6</f>
        <v>2068784.6</v>
      </c>
      <c r="D31" s="69">
        <f>2003157.91</f>
        <v>2003157.91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1.7519008567028773E-3</v>
      </c>
      <c r="K31" s="18">
        <f t="shared" si="1"/>
        <v>96.827765925945116</v>
      </c>
      <c r="L31" s="22"/>
    </row>
    <row r="32" spans="2:12" ht="13.5" customHeight="1" outlineLevel="1" x14ac:dyDescent="0.2">
      <c r="B32" s="92" t="s">
        <v>54</v>
      </c>
      <c r="C32" s="67">
        <f>C33+C35+C37</f>
        <v>2690022425.6600003</v>
      </c>
      <c r="D32" s="67">
        <f>D33+D35+D37</f>
        <v>2656221347.0999999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2.3230502350046689</v>
      </c>
      <c r="K32" s="16">
        <f t="shared" si="1"/>
        <v>98.743464803952065</v>
      </c>
      <c r="L32" s="22"/>
    </row>
    <row r="33" spans="2:12" ht="22.5" outlineLevel="1" x14ac:dyDescent="0.2">
      <c r="B33" s="93" t="s">
        <v>112</v>
      </c>
      <c r="C33" s="69">
        <f>2314767078.4</f>
        <v>2314767078.4000001</v>
      </c>
      <c r="D33" s="69">
        <f>2305863162.59</f>
        <v>2305863162.5900002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2.016637644897914</v>
      </c>
      <c r="K33" s="18">
        <f t="shared" si="1"/>
        <v>99.615342904558901</v>
      </c>
      <c r="L33" s="22"/>
    </row>
    <row r="34" spans="2:12" ht="12.95" customHeight="1" outlineLevel="1" x14ac:dyDescent="0.2">
      <c r="B34" s="95" t="s">
        <v>6</v>
      </c>
      <c r="C34" s="69">
        <f>298292239.99</f>
        <v>298292239.99000001</v>
      </c>
      <c r="D34" s="70">
        <f>298011335.46</f>
        <v>298011335.45999998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0.26063163133232092</v>
      </c>
      <c r="K34" s="18">
        <f t="shared" si="1"/>
        <v>99.90582908559422</v>
      </c>
      <c r="L34" s="22"/>
    </row>
    <row r="35" spans="2:12" ht="12.95" customHeight="1" outlineLevel="1" x14ac:dyDescent="0.2">
      <c r="B35" s="93" t="s">
        <v>113</v>
      </c>
      <c r="C35" s="69">
        <f>308947062.09</f>
        <v>308947062.08999997</v>
      </c>
      <c r="D35" s="69">
        <f>291586797.37</f>
        <v>291586797.37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0.25501292612310894</v>
      </c>
      <c r="K35" s="18">
        <f t="shared" si="1"/>
        <v>94.380828675773998</v>
      </c>
      <c r="L35" s="22"/>
    </row>
    <row r="36" spans="2:12" ht="12.95" customHeight="1" outlineLevel="1" x14ac:dyDescent="0.2">
      <c r="B36" s="95" t="s">
        <v>6</v>
      </c>
      <c r="C36" s="69">
        <f>47547530.56</f>
        <v>47547530.560000002</v>
      </c>
      <c r="D36" s="70">
        <f>36777896.07</f>
        <v>36777896.07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3.2164827001962312E-2</v>
      </c>
      <c r="K36" s="18">
        <f t="shared" si="1"/>
        <v>77.349750106559469</v>
      </c>
      <c r="L36" s="22"/>
    </row>
    <row r="37" spans="2:12" ht="33.75" outlineLevel="1" x14ac:dyDescent="0.2">
      <c r="B37" s="93" t="s">
        <v>8</v>
      </c>
      <c r="C37" s="69">
        <f>66308285.17</f>
        <v>66308285.170000002</v>
      </c>
      <c r="D37" s="69">
        <f>58771387.14</f>
        <v>58771387.140000001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5.1399663983645941E-2</v>
      </c>
      <c r="K37" s="18">
        <f t="shared" si="1"/>
        <v>88.633550074961164</v>
      </c>
      <c r="L37" s="22"/>
    </row>
    <row r="38" spans="2:12" ht="12.95" customHeight="1" outlineLevel="1" x14ac:dyDescent="0.2">
      <c r="B38" s="95" t="s">
        <v>6</v>
      </c>
      <c r="C38" s="69">
        <f>559000</f>
        <v>559000</v>
      </c>
      <c r="D38" s="70">
        <f>552795.65</f>
        <v>552795.65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4.8345822762251625E-4</v>
      </c>
      <c r="K38" s="18">
        <f t="shared" si="1"/>
        <v>98.890098389982114</v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4960789123.1300001</v>
      </c>
      <c r="D39" s="67">
        <f>D40+D42+D44+D48+D50+D46+D52+D54</f>
        <v>4684158024.5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4.096621846478997</v>
      </c>
      <c r="K39" s="16">
        <f t="shared" si="1"/>
        <v>94.423647291512765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0</f>
        <v>0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680898677.57</f>
        <v>680898677.57000005</v>
      </c>
      <c r="D44" s="71">
        <f>668270579.48</f>
        <v>668270579.48000002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0.58444908155061037</v>
      </c>
      <c r="K44" s="18">
        <f t="shared" si="1"/>
        <v>98.14537779173439</v>
      </c>
      <c r="L44" s="22"/>
    </row>
    <row r="45" spans="2:12" ht="12.95" customHeight="1" outlineLevel="1" x14ac:dyDescent="0.2">
      <c r="B45" s="95" t="s">
        <v>6</v>
      </c>
      <c r="C45" s="69">
        <f>18159374.36</f>
        <v>18159374.359999999</v>
      </c>
      <c r="D45" s="69">
        <f>12620744.48</f>
        <v>12620744.48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1.1037718472599153E-2</v>
      </c>
      <c r="K45" s="18">
        <f t="shared" si="1"/>
        <v>69.499886008187346</v>
      </c>
      <c r="L45" s="22"/>
    </row>
    <row r="46" spans="2:12" ht="33.75" outlineLevel="1" x14ac:dyDescent="0.2">
      <c r="B46" s="93" t="s">
        <v>79</v>
      </c>
      <c r="C46" s="69">
        <f>320976801.81</f>
        <v>320976801.81</v>
      </c>
      <c r="D46" s="69">
        <f>302139868.09</f>
        <v>302139868.08999997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0.26424232014288146</v>
      </c>
      <c r="K46" s="18">
        <f>IF(C46=0,"",100*D46/C46)</f>
        <v>94.131372231956362</v>
      </c>
      <c r="L46" s="22"/>
    </row>
    <row r="47" spans="2:12" ht="12.95" customHeight="1" outlineLevel="1" x14ac:dyDescent="0.2">
      <c r="B47" s="95" t="s">
        <v>6</v>
      </c>
      <c r="C47" s="69">
        <f>296404542.74</f>
        <v>296404542.74000001</v>
      </c>
      <c r="D47" s="69">
        <f>278187441.26</f>
        <v>278187441.25999999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0.24329425764910134</v>
      </c>
      <c r="K47" s="18">
        <f>IF(C47=0,"",100*D47/C47)</f>
        <v>93.853973589068886</v>
      </c>
      <c r="L47" s="22"/>
    </row>
    <row r="48" spans="2:12" ht="12.95" customHeight="1" outlineLevel="1" x14ac:dyDescent="0.2">
      <c r="B48" s="93" t="s">
        <v>7</v>
      </c>
      <c r="C48" s="69">
        <f>224229088.35</f>
        <v>224229088.34999999</v>
      </c>
      <c r="D48" s="70">
        <f>224960384.95</f>
        <v>224960384.94999999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0.19674349643164882</v>
      </c>
      <c r="K48" s="18">
        <f t="shared" si="1"/>
        <v>100.3261381497741</v>
      </c>
      <c r="L48" s="22"/>
    </row>
    <row r="49" spans="2:12" ht="12.95" customHeight="1" outlineLevel="1" x14ac:dyDescent="0.2">
      <c r="B49" s="95" t="s">
        <v>6</v>
      </c>
      <c r="C49" s="69">
        <f>196820733.33</f>
        <v>196820733.33000001</v>
      </c>
      <c r="D49" s="69">
        <f>201886142.35</f>
        <v>201886142.34999999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0.17656346710050635</v>
      </c>
      <c r="K49" s="18">
        <f t="shared" si="1"/>
        <v>102.57361556087034</v>
      </c>
      <c r="L49" s="22"/>
    </row>
    <row r="50" spans="2:12" ht="67.5" outlineLevel="1" x14ac:dyDescent="0.2">
      <c r="B50" s="93" t="s">
        <v>100</v>
      </c>
      <c r="C50" s="69">
        <f>1630000</f>
        <v>1630000</v>
      </c>
      <c r="D50" s="69">
        <f>1630000</f>
        <v>1630000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1.4255483215627719E-3</v>
      </c>
      <c r="K50" s="18">
        <f>IF(C50=0,"",100*D50/C50)</f>
        <v>100</v>
      </c>
      <c r="L50" s="22"/>
    </row>
    <row r="51" spans="2:12" ht="12.95" customHeight="1" outlineLevel="1" x14ac:dyDescent="0.2">
      <c r="B51" s="95" t="s">
        <v>99</v>
      </c>
      <c r="C51" s="69">
        <f>1590000</f>
        <v>1590000</v>
      </c>
      <c r="D51" s="69">
        <f>1590000</f>
        <v>1590000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1.3905655406655259E-3</v>
      </c>
      <c r="K51" s="18">
        <f>IF(C51=0,"",100*D51/C51)</f>
        <v>100</v>
      </c>
      <c r="L51" s="22"/>
    </row>
    <row r="52" spans="2:12" ht="45" outlineLevel="1" x14ac:dyDescent="0.2">
      <c r="B52" s="94" t="s">
        <v>98</v>
      </c>
      <c r="C52" s="72">
        <f>1379572891.04</f>
        <v>1379572891.04</v>
      </c>
      <c r="D52" s="72">
        <f>1159556922.24</f>
        <v>1159556922.24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1.0141131437151691</v>
      </c>
      <c r="K52" s="25">
        <f>IF(C52=0,"",100*D52/C52)</f>
        <v>84.051877923308609</v>
      </c>
      <c r="L52" s="22"/>
    </row>
    <row r="53" spans="2:12" ht="12.95" customHeight="1" outlineLevel="1" x14ac:dyDescent="0.2">
      <c r="B53" s="95" t="s">
        <v>99</v>
      </c>
      <c r="C53" s="69">
        <f>1176118617.19</f>
        <v>1176118617.1900001</v>
      </c>
      <c r="D53" s="69">
        <f>1004038692.93</f>
        <v>1004038692.9299999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0.87810164017818459</v>
      </c>
      <c r="K53" s="18">
        <f t="shared" ref="K53:K69" si="4">IF(C53=0,"",100*D53/C53)</f>
        <v>85.368829151677232</v>
      </c>
      <c r="L53" s="22"/>
    </row>
    <row r="54" spans="2:12" ht="22.5" outlineLevel="1" x14ac:dyDescent="0.2">
      <c r="B54" s="94" t="s">
        <v>114</v>
      </c>
      <c r="C54" s="69">
        <f>2353481664.36</f>
        <v>2353481664.3600001</v>
      </c>
      <c r="D54" s="69">
        <f>2327600269.74</f>
        <v>2327600269.7399998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2.0356482563171236</v>
      </c>
      <c r="K54" s="18">
        <f t="shared" si="4"/>
        <v>98.900293339356068</v>
      </c>
      <c r="L54" s="22"/>
    </row>
    <row r="55" spans="2:12" ht="12.95" customHeight="1" outlineLevel="1" x14ac:dyDescent="0.2">
      <c r="B55" s="95" t="s">
        <v>6</v>
      </c>
      <c r="C55" s="69">
        <f>7805338</f>
        <v>7805338</v>
      </c>
      <c r="D55" s="69">
        <f>4683348.51</f>
        <v>4683348.51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4.0959138697693308E-3</v>
      </c>
      <c r="K55" s="18">
        <f t="shared" si="4"/>
        <v>60.001866799362183</v>
      </c>
      <c r="L55" s="22"/>
    </row>
    <row r="56" spans="2:12" ht="13.5" customHeight="1" outlineLevel="1" x14ac:dyDescent="0.2">
      <c r="B56" s="90" t="s">
        <v>85</v>
      </c>
      <c r="C56" s="67">
        <f>315743795.12</f>
        <v>315743795.12</v>
      </c>
      <c r="D56" s="67">
        <f>287283983.33</f>
        <v>287283983.32999998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0.25124981610303609</v>
      </c>
      <c r="K56" s="16">
        <f t="shared" si="4"/>
        <v>90.986422463445805</v>
      </c>
      <c r="L56" s="22"/>
    </row>
    <row r="57" spans="2:12" ht="12.95" customHeight="1" outlineLevel="1" x14ac:dyDescent="0.2">
      <c r="B57" s="93" t="s">
        <v>86</v>
      </c>
      <c r="C57" s="69">
        <f>258992336.32</f>
        <v>258992336.31999999</v>
      </c>
      <c r="D57" s="69">
        <f>236676640.96</f>
        <v>236676640.96000001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0.20699017685499557</v>
      </c>
      <c r="K57" s="18">
        <f t="shared" si="4"/>
        <v>91.383646451828724</v>
      </c>
      <c r="L57" s="22"/>
    </row>
    <row r="58" spans="2:12" ht="13.5" customHeight="1" outlineLevel="1" x14ac:dyDescent="0.2">
      <c r="B58" s="90" t="s">
        <v>87</v>
      </c>
      <c r="C58" s="73">
        <f>5412256740.55</f>
        <v>5412256740.5500002</v>
      </c>
      <c r="D58" s="73">
        <f>4355462138.93</f>
        <v>4355462138.9300003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3.8091544428109585</v>
      </c>
      <c r="K58" s="23">
        <f t="shared" si="4"/>
        <v>80.474048954436569</v>
      </c>
      <c r="L58" s="22"/>
    </row>
    <row r="59" spans="2:12" ht="12.95" customHeight="1" outlineLevel="1" x14ac:dyDescent="0.2">
      <c r="B59" s="94" t="s">
        <v>88</v>
      </c>
      <c r="C59" s="72">
        <f>4944713276.6</f>
        <v>4944713276.6000004</v>
      </c>
      <c r="D59" s="72">
        <f>3969695049.84</f>
        <v>3969695049.8400002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3.4717743039358626</v>
      </c>
      <c r="K59" s="25">
        <f t="shared" si="4"/>
        <v>80.281602345395726</v>
      </c>
      <c r="L59" s="22"/>
    </row>
    <row r="60" spans="2:12" s="26" customFormat="1" ht="25.5" customHeight="1" x14ac:dyDescent="0.2">
      <c r="B60" s="88" t="s">
        <v>63</v>
      </c>
      <c r="C60" s="67">
        <f>C61+C62+C63+C67</f>
        <v>28312607389.889999</v>
      </c>
      <c r="D60" s="67">
        <f>D61+D62+D63+D67</f>
        <v>28412768868.169998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24.848941699982039</v>
      </c>
      <c r="K60" s="16">
        <f t="shared" si="4"/>
        <v>100.35376988385664</v>
      </c>
      <c r="L60" s="27"/>
    </row>
    <row r="61" spans="2:12" ht="12.95" customHeight="1" outlineLevel="1" x14ac:dyDescent="0.2">
      <c r="B61" s="10" t="s">
        <v>39</v>
      </c>
      <c r="C61" s="69">
        <f>22937157309</f>
        <v>22937157309</v>
      </c>
      <c r="D61" s="69">
        <f>22940371022</f>
        <v>22940371022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20.062949329103898</v>
      </c>
      <c r="K61" s="18">
        <f t="shared" si="4"/>
        <v>100.01401094720111</v>
      </c>
      <c r="L61" s="22"/>
    </row>
    <row r="62" spans="2:12" s="26" customFormat="1" ht="12.95" customHeight="1" outlineLevel="1" x14ac:dyDescent="0.2">
      <c r="B62" s="10" t="s">
        <v>35</v>
      </c>
      <c r="C62" s="68">
        <f>4068280491.89</f>
        <v>4068280491.8899999</v>
      </c>
      <c r="D62" s="71">
        <f>4165298353.17</f>
        <v>4165298353.1700001</v>
      </c>
      <c r="E62" s="17" t="s">
        <v>56</v>
      </c>
      <c r="F62" s="17" t="s">
        <v>56</v>
      </c>
      <c r="G62" s="17" t="s">
        <v>56</v>
      </c>
      <c r="H62" s="17" t="s">
        <v>56</v>
      </c>
      <c r="I62" s="17" t="s">
        <v>56</v>
      </c>
      <c r="J62" s="18">
        <f t="shared" si="0"/>
        <v>3.6428429915151357</v>
      </c>
      <c r="K62" s="18">
        <f t="shared" si="4"/>
        <v>102.38473874830908</v>
      </c>
      <c r="L62" s="27"/>
    </row>
    <row r="63" spans="2:12" s="26" customFormat="1" ht="25.5" customHeight="1" outlineLevel="1" x14ac:dyDescent="0.2">
      <c r="B63" s="90" t="s">
        <v>107</v>
      </c>
      <c r="C63" s="67">
        <f>C64+C65+C66</f>
        <v>454088688</v>
      </c>
      <c r="D63" s="67">
        <f>D64+D65+D66</f>
        <v>454088688</v>
      </c>
      <c r="E63" s="20" t="s">
        <v>56</v>
      </c>
      <c r="F63" s="20" t="s">
        <v>56</v>
      </c>
      <c r="G63" s="20" t="s">
        <v>56</v>
      </c>
      <c r="H63" s="20" t="s">
        <v>56</v>
      </c>
      <c r="I63" s="20" t="s">
        <v>56</v>
      </c>
      <c r="J63" s="16">
        <f t="shared" si="0"/>
        <v>0.39713212700554673</v>
      </c>
      <c r="K63" s="16">
        <f t="shared" si="4"/>
        <v>100</v>
      </c>
      <c r="L63" s="27"/>
    </row>
    <row r="64" spans="2:12" ht="12.95" customHeight="1" outlineLevel="1" x14ac:dyDescent="0.2">
      <c r="B64" s="93" t="s">
        <v>40</v>
      </c>
      <c r="C64" s="68">
        <f>352393560</f>
        <v>352393560</v>
      </c>
      <c r="D64" s="71">
        <f>352393560</f>
        <v>352393560</v>
      </c>
      <c r="E64" s="17" t="s">
        <v>56</v>
      </c>
      <c r="F64" s="17" t="s">
        <v>56</v>
      </c>
      <c r="G64" s="17" t="s">
        <v>56</v>
      </c>
      <c r="H64" s="17" t="s">
        <v>56</v>
      </c>
      <c r="I64" s="17" t="s">
        <v>56</v>
      </c>
      <c r="J64" s="18">
        <f t="shared" si="0"/>
        <v>0.30819266747701224</v>
      </c>
      <c r="K64" s="18">
        <f t="shared" si="4"/>
        <v>100</v>
      </c>
      <c r="L64" s="22"/>
    </row>
    <row r="65" spans="1:26" ht="12.95" customHeight="1" outlineLevel="1" x14ac:dyDescent="0.2">
      <c r="B65" s="93" t="s">
        <v>38</v>
      </c>
      <c r="C65" s="69">
        <f>3278526</f>
        <v>3278526</v>
      </c>
      <c r="D65" s="69">
        <f>3278526</f>
        <v>3278526</v>
      </c>
      <c r="E65" s="19" t="s">
        <v>56</v>
      </c>
      <c r="F65" s="19" t="s">
        <v>56</v>
      </c>
      <c r="G65" s="19" t="s">
        <v>56</v>
      </c>
      <c r="H65" s="19" t="s">
        <v>56</v>
      </c>
      <c r="I65" s="19" t="s">
        <v>56</v>
      </c>
      <c r="J65" s="18">
        <f t="shared" si="0"/>
        <v>2.8672989180981031E-3</v>
      </c>
      <c r="K65" s="18">
        <f t="shared" si="4"/>
        <v>100</v>
      </c>
      <c r="L65" s="22"/>
    </row>
    <row r="66" spans="1:26" ht="12.95" customHeight="1" outlineLevel="1" x14ac:dyDescent="0.2">
      <c r="B66" s="93" t="s">
        <v>37</v>
      </c>
      <c r="C66" s="68">
        <f>98416602</f>
        <v>98416602</v>
      </c>
      <c r="D66" s="71">
        <f>98416602</f>
        <v>98416602</v>
      </c>
      <c r="E66" s="17" t="s">
        <v>56</v>
      </c>
      <c r="F66" s="17" t="s">
        <v>56</v>
      </c>
      <c r="G66" s="17" t="s">
        <v>56</v>
      </c>
      <c r="H66" s="17" t="s">
        <v>56</v>
      </c>
      <c r="I66" s="17" t="s">
        <v>56</v>
      </c>
      <c r="J66" s="18">
        <f t="shared" si="0"/>
        <v>8.6072160610436405E-2</v>
      </c>
      <c r="K66" s="18">
        <f t="shared" si="4"/>
        <v>100</v>
      </c>
      <c r="L66" s="22"/>
    </row>
    <row r="67" spans="1:26" s="26" customFormat="1" ht="40.5" customHeight="1" outlineLevel="1" x14ac:dyDescent="0.2">
      <c r="B67" s="90" t="s">
        <v>108</v>
      </c>
      <c r="C67" s="67">
        <f>C68+C69</f>
        <v>853080901</v>
      </c>
      <c r="D67" s="67">
        <f>D68+D69</f>
        <v>853010805</v>
      </c>
      <c r="E67" s="20" t="s">
        <v>56</v>
      </c>
      <c r="F67" s="20" t="s">
        <v>56</v>
      </c>
      <c r="G67" s="20" t="s">
        <v>56</v>
      </c>
      <c r="H67" s="20" t="s">
        <v>56</v>
      </c>
      <c r="I67" s="20" t="s">
        <v>56</v>
      </c>
      <c r="J67" s="16">
        <f t="shared" si="0"/>
        <v>0.74601725235745942</v>
      </c>
      <c r="K67" s="16">
        <f t="shared" si="4"/>
        <v>99.991783194311608</v>
      </c>
      <c r="L67" s="27"/>
    </row>
    <row r="68" spans="1:26" ht="12.95" customHeight="1" outlineLevel="1" x14ac:dyDescent="0.2">
      <c r="B68" s="93" t="s">
        <v>37</v>
      </c>
      <c r="C68" s="68">
        <f>703191857</f>
        <v>703191857</v>
      </c>
      <c r="D68" s="71">
        <f>703121761</f>
        <v>703121761</v>
      </c>
      <c r="E68" s="17" t="s">
        <v>56</v>
      </c>
      <c r="F68" s="17" t="s">
        <v>56</v>
      </c>
      <c r="G68" s="17" t="s">
        <v>56</v>
      </c>
      <c r="H68" s="17" t="s">
        <v>56</v>
      </c>
      <c r="I68" s="17" t="s">
        <v>56</v>
      </c>
      <c r="J68" s="18">
        <f t="shared" si="0"/>
        <v>0.61492886272871805</v>
      </c>
      <c r="K68" s="18">
        <f t="shared" si="4"/>
        <v>99.990031738948304</v>
      </c>
      <c r="L68" s="22"/>
    </row>
    <row r="69" spans="1:26" ht="12.95" customHeight="1" outlineLevel="1" x14ac:dyDescent="0.2">
      <c r="B69" s="93" t="s">
        <v>40</v>
      </c>
      <c r="C69" s="69">
        <f>149889044</f>
        <v>149889044</v>
      </c>
      <c r="D69" s="69">
        <f>149889044</f>
        <v>149889044</v>
      </c>
      <c r="E69" s="19" t="s">
        <v>56</v>
      </c>
      <c r="F69" s="19" t="s">
        <v>56</v>
      </c>
      <c r="G69" s="19" t="s">
        <v>56</v>
      </c>
      <c r="H69" s="19" t="s">
        <v>56</v>
      </c>
      <c r="I69" s="19" t="s">
        <v>56</v>
      </c>
      <c r="J69" s="18">
        <f t="shared" si="0"/>
        <v>0.13108838962874139</v>
      </c>
      <c r="K69" s="18">
        <f t="shared" si="4"/>
        <v>100</v>
      </c>
      <c r="L69" s="22"/>
    </row>
    <row r="70" spans="1:26" ht="11.25" customHeight="1" x14ac:dyDescent="0.2">
      <c r="B70" s="28"/>
      <c r="C70" s="29"/>
      <c r="D70" s="29"/>
      <c r="E70" s="29"/>
      <c r="F70" s="29"/>
      <c r="G70" s="29"/>
      <c r="H70" s="29"/>
      <c r="I70" s="29"/>
      <c r="J70" s="21"/>
      <c r="K70" s="21"/>
      <c r="L70" s="22"/>
    </row>
    <row r="71" spans="1:26" ht="13.5" customHeight="1" x14ac:dyDescent="0.2">
      <c r="B71" s="65" t="s">
        <v>5</v>
      </c>
      <c r="C71" s="20">
        <f t="shared" ref="C71:I71" si="5">+C5</f>
        <v>115700422243.66</v>
      </c>
      <c r="D71" s="20">
        <f t="shared" si="5"/>
        <v>114341967602.55</v>
      </c>
      <c r="E71" s="20">
        <f t="shared" si="5"/>
        <v>654836163.33000004</v>
      </c>
      <c r="F71" s="20">
        <f t="shared" si="5"/>
        <v>129675716.7</v>
      </c>
      <c r="G71" s="20">
        <f t="shared" si="5"/>
        <v>42502298.840000004</v>
      </c>
      <c r="H71" s="20">
        <f t="shared" si="5"/>
        <v>66794396.060000002</v>
      </c>
      <c r="I71" s="20">
        <f t="shared" si="5"/>
        <v>1420686.91</v>
      </c>
      <c r="J71" s="16">
        <f t="shared" si="0"/>
        <v>100</v>
      </c>
      <c r="K71" s="16">
        <f>IF(C71=0,"",100*D71/C71)</f>
        <v>98.825886185402894</v>
      </c>
      <c r="L71" s="22"/>
    </row>
    <row r="72" spans="1:26" x14ac:dyDescent="0.2">
      <c r="B72" s="100" t="s">
        <v>74</v>
      </c>
      <c r="C72" s="19">
        <f>12115937342.61</f>
        <v>12115937342.610001</v>
      </c>
      <c r="D72" s="19">
        <f>10568123265.69</f>
        <v>10568123265.690001</v>
      </c>
      <c r="E72" s="19">
        <f>0</f>
        <v>0</v>
      </c>
      <c r="F72" s="19">
        <f>0</f>
        <v>0</v>
      </c>
      <c r="G72" s="19">
        <f>0</f>
        <v>0</v>
      </c>
      <c r="H72" s="19">
        <f>0</f>
        <v>0</v>
      </c>
      <c r="I72" s="19">
        <f>0</f>
        <v>0</v>
      </c>
      <c r="J72" s="18">
        <f t="shared" si="0"/>
        <v>9.2425585174680123</v>
      </c>
      <c r="K72" s="18">
        <f>IF(C72=0,"",100*D72/C72)</f>
        <v>87.224974567369529</v>
      </c>
      <c r="L72" s="22"/>
    </row>
    <row r="73" spans="1:26" s="26" customFormat="1" x14ac:dyDescent="0.2">
      <c r="A73" s="9"/>
      <c r="B73" s="100" t="s">
        <v>75</v>
      </c>
      <c r="C73" s="19">
        <f>C71-C72</f>
        <v>103584484901.05</v>
      </c>
      <c r="D73" s="19">
        <f t="shared" ref="D73:I73" si="6">D71-D72</f>
        <v>103773844336.86</v>
      </c>
      <c r="E73" s="19">
        <f t="shared" si="6"/>
        <v>654836163.33000004</v>
      </c>
      <c r="F73" s="19">
        <f t="shared" si="6"/>
        <v>129675716.7</v>
      </c>
      <c r="G73" s="19">
        <f t="shared" si="6"/>
        <v>42502298.840000004</v>
      </c>
      <c r="H73" s="19">
        <f t="shared" si="6"/>
        <v>66794396.060000002</v>
      </c>
      <c r="I73" s="19">
        <f t="shared" si="6"/>
        <v>1420686.91</v>
      </c>
      <c r="J73" s="18">
        <f t="shared" si="0"/>
        <v>90.757441482531988</v>
      </c>
      <c r="K73" s="18">
        <f>IF(C73=0,"",100*D73/C73)</f>
        <v>100.18280675526927</v>
      </c>
      <c r="L73" s="30"/>
    </row>
    <row r="74" spans="1:26" s="26" customFormat="1" x14ac:dyDescent="0.2">
      <c r="A74" s="9"/>
      <c r="B74" s="106" t="s">
        <v>116</v>
      </c>
      <c r="C74" s="29"/>
      <c r="D74" s="29"/>
      <c r="E74" s="29"/>
      <c r="F74" s="29"/>
      <c r="G74" s="29"/>
      <c r="H74" s="29"/>
      <c r="I74" s="29"/>
      <c r="J74" s="21"/>
      <c r="K74" s="21"/>
      <c r="L74" s="30"/>
    </row>
    <row r="75" spans="1:26" s="26" customFormat="1" x14ac:dyDescent="0.2">
      <c r="A75" s="9"/>
      <c r="B75" s="105" t="s">
        <v>115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ht="18" x14ac:dyDescent="0.2">
      <c r="B76" s="87" t="str">
        <f>CONCATENATE("Informacja z wykonania budżetów miast na prawach powiatu za ",$D$137," ",$C$138," rok    ",$C$140,"")</f>
        <v xml:space="preserve">Informacja z wykonania budżetów miast na prawach powiatu za IV Kwartały 2023 rok    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</row>
    <row r="77" spans="1:26" s="26" customFormat="1" x14ac:dyDescent="0.2">
      <c r="B77" s="31"/>
      <c r="C77" s="32"/>
      <c r="D77" s="32"/>
      <c r="E77" s="32"/>
      <c r="F77" s="33"/>
      <c r="G77" s="33"/>
      <c r="H77" s="33"/>
      <c r="I77" s="33"/>
      <c r="J77" s="33"/>
      <c r="K77" s="1"/>
      <c r="L77" s="1"/>
      <c r="M77" s="34"/>
    </row>
    <row r="78" spans="1:26" ht="29.25" customHeight="1" x14ac:dyDescent="0.2">
      <c r="B78" s="113" t="s">
        <v>0</v>
      </c>
      <c r="C78" s="110" t="s">
        <v>46</v>
      </c>
      <c r="D78" s="110" t="s">
        <v>48</v>
      </c>
      <c r="E78" s="110" t="s">
        <v>47</v>
      </c>
      <c r="F78" s="110" t="s">
        <v>10</v>
      </c>
      <c r="G78" s="110"/>
      <c r="H78" s="110"/>
      <c r="I78" s="116" t="s">
        <v>84</v>
      </c>
      <c r="J78" s="110" t="s">
        <v>2</v>
      </c>
      <c r="K78" s="114" t="s">
        <v>16</v>
      </c>
      <c r="M78" s="35"/>
      <c r="N78" s="52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" customHeight="1" x14ac:dyDescent="0.2">
      <c r="B79" s="113"/>
      <c r="C79" s="110"/>
      <c r="D79" s="110"/>
      <c r="E79" s="111"/>
      <c r="F79" s="115" t="s">
        <v>49</v>
      </c>
      <c r="G79" s="130" t="s">
        <v>27</v>
      </c>
      <c r="H79" s="111"/>
      <c r="I79" s="117"/>
      <c r="J79" s="110"/>
      <c r="K79" s="114"/>
      <c r="L79" s="2"/>
      <c r="M79" s="3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58.5" customHeight="1" x14ac:dyDescent="0.2">
      <c r="B80" s="113"/>
      <c r="C80" s="110"/>
      <c r="D80" s="110"/>
      <c r="E80" s="111"/>
      <c r="F80" s="111"/>
      <c r="G80" s="7" t="s">
        <v>44</v>
      </c>
      <c r="H80" s="7" t="s">
        <v>45</v>
      </c>
      <c r="I80" s="118"/>
      <c r="J80" s="110"/>
      <c r="K80" s="114"/>
      <c r="L80" s="2"/>
      <c r="M80" s="35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13.5" customHeight="1" x14ac:dyDescent="0.2">
      <c r="B81" s="113"/>
      <c r="C81" s="119" t="s">
        <v>78</v>
      </c>
      <c r="D81" s="120"/>
      <c r="E81" s="120"/>
      <c r="F81" s="120"/>
      <c r="G81" s="120"/>
      <c r="H81" s="120"/>
      <c r="I81" s="121"/>
      <c r="J81" s="127" t="s">
        <v>4</v>
      </c>
      <c r="K81" s="127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1.25" customHeight="1" x14ac:dyDescent="0.2">
      <c r="B82" s="6">
        <v>1</v>
      </c>
      <c r="C82" s="8">
        <v>2</v>
      </c>
      <c r="D82" s="8">
        <v>3</v>
      </c>
      <c r="E82" s="8">
        <v>4</v>
      </c>
      <c r="F82" s="6">
        <v>5</v>
      </c>
      <c r="G82" s="6">
        <v>6</v>
      </c>
      <c r="H82" s="8">
        <v>7</v>
      </c>
      <c r="I82" s="8">
        <v>8</v>
      </c>
      <c r="J82" s="6">
        <v>9</v>
      </c>
      <c r="K82" s="8">
        <v>10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25.5" customHeight="1" x14ac:dyDescent="0.2">
      <c r="B83" s="65" t="s">
        <v>64</v>
      </c>
      <c r="C83" s="74">
        <f>131951288658.37</f>
        <v>131951288658.37</v>
      </c>
      <c r="D83" s="74">
        <f>125395606166.34</f>
        <v>125395606166.34</v>
      </c>
      <c r="E83" s="74">
        <f>125410235135.11</f>
        <v>125410235135.11</v>
      </c>
      <c r="F83" s="74">
        <f>6354594610.63</f>
        <v>6354594610.6300001</v>
      </c>
      <c r="G83" s="74">
        <f>308265.29</f>
        <v>308265.28999999998</v>
      </c>
      <c r="H83" s="74">
        <f>14283021.21</f>
        <v>14283021.210000001</v>
      </c>
      <c r="I83" s="74">
        <f>260942633.79</f>
        <v>260942633.78999999</v>
      </c>
      <c r="J83" s="43">
        <f>IF($D$83=0,"",100*$D83/$D$83)</f>
        <v>100</v>
      </c>
      <c r="K83" s="43">
        <f>IF(C83=0,"",100*D83/C83)</f>
        <v>95.031740456129185</v>
      </c>
      <c r="N83" s="53"/>
      <c r="O83" s="54"/>
    </row>
    <row r="84" spans="2:26" x14ac:dyDescent="0.2">
      <c r="B84" s="88" t="s">
        <v>12</v>
      </c>
      <c r="C84" s="75">
        <f>25010595880.38</f>
        <v>25010595880.380001</v>
      </c>
      <c r="D84" s="75">
        <f>22289798735.97</f>
        <v>22289798735.970001</v>
      </c>
      <c r="E84" s="75">
        <f>22297803828.55</f>
        <v>22297803828.549999</v>
      </c>
      <c r="F84" s="75">
        <f>529863959.03</f>
        <v>529863959.02999997</v>
      </c>
      <c r="G84" s="75">
        <f>131407.1</f>
        <v>131407.1</v>
      </c>
      <c r="H84" s="75">
        <f>602500.89</f>
        <v>602500.89</v>
      </c>
      <c r="I84" s="75">
        <f>232895430.21</f>
        <v>232895430.21000001</v>
      </c>
      <c r="J84" s="43">
        <f t="shared" ref="J84:J92" si="7">IF($D$83=0,"",100*$D84/$D$83)</f>
        <v>17.775581950137948</v>
      </c>
      <c r="K84" s="43">
        <f t="shared" ref="K84:K92" si="8">IF(C84=0,"",100*D84/C84)</f>
        <v>89.121422146745502</v>
      </c>
      <c r="N84" s="55"/>
      <c r="O84" s="54"/>
    </row>
    <row r="85" spans="2:26" ht="12.95" customHeight="1" outlineLevel="1" x14ac:dyDescent="0.2">
      <c r="B85" s="10" t="s">
        <v>11</v>
      </c>
      <c r="C85" s="69">
        <f>22151227024.08</f>
        <v>22151227024.080002</v>
      </c>
      <c r="D85" s="69">
        <f>19531628555.76</f>
        <v>19531628555.759998</v>
      </c>
      <c r="E85" s="69">
        <f>19539633648.34</f>
        <v>19539633648.34</v>
      </c>
      <c r="F85" s="69">
        <f>506707343.69</f>
        <v>506707343.69</v>
      </c>
      <c r="G85" s="69">
        <f>131407.1</f>
        <v>131407.1</v>
      </c>
      <c r="H85" s="69">
        <f>602500.89</f>
        <v>602500.89</v>
      </c>
      <c r="I85" s="69">
        <f>232895430.21</f>
        <v>232895430.21000001</v>
      </c>
      <c r="J85" s="43">
        <f t="shared" si="7"/>
        <v>15.576007128870902</v>
      </c>
      <c r="K85" s="43">
        <f t="shared" si="8"/>
        <v>88.174025459301603</v>
      </c>
      <c r="N85" s="29"/>
      <c r="O85" s="54"/>
    </row>
    <row r="86" spans="2:26" ht="25.5" customHeight="1" x14ac:dyDescent="0.2">
      <c r="B86" s="88" t="s">
        <v>65</v>
      </c>
      <c r="C86" s="75">
        <f t="shared" ref="C86:I86" si="9">C83-C84</f>
        <v>106940692777.98999</v>
      </c>
      <c r="D86" s="75">
        <f t="shared" si="9"/>
        <v>103105807430.37</v>
      </c>
      <c r="E86" s="75">
        <f>E83-E84</f>
        <v>103112431306.56</v>
      </c>
      <c r="F86" s="75">
        <f t="shared" si="9"/>
        <v>5824730651.6000004</v>
      </c>
      <c r="G86" s="75">
        <f t="shared" si="9"/>
        <v>176858.18999999997</v>
      </c>
      <c r="H86" s="75">
        <f t="shared" si="9"/>
        <v>13680520.32</v>
      </c>
      <c r="I86" s="75">
        <f t="shared" si="9"/>
        <v>28047203.579999983</v>
      </c>
      <c r="J86" s="43">
        <f t="shared" si="7"/>
        <v>82.224418049862052</v>
      </c>
      <c r="K86" s="43">
        <f t="shared" si="8"/>
        <v>96.414007382969501</v>
      </c>
      <c r="N86" s="55"/>
      <c r="O86" s="54"/>
    </row>
    <row r="87" spans="2:26" ht="24" customHeight="1" outlineLevel="1" x14ac:dyDescent="0.2">
      <c r="B87" s="10" t="s">
        <v>105</v>
      </c>
      <c r="C87" s="69">
        <f>43291489042.53</f>
        <v>43291489042.529999</v>
      </c>
      <c r="D87" s="69">
        <f>42601079558.96</f>
        <v>42601079558.959999</v>
      </c>
      <c r="E87" s="69">
        <f>42602756506.31</f>
        <v>42602756506.309998</v>
      </c>
      <c r="F87" s="69">
        <f>3872816659.69</f>
        <v>3872816659.6900001</v>
      </c>
      <c r="G87" s="69">
        <f>8153.18</f>
        <v>8153.18</v>
      </c>
      <c r="H87" s="69">
        <f>354028.47</f>
        <v>354028.47</v>
      </c>
      <c r="I87" s="69">
        <f>90750</f>
        <v>90750</v>
      </c>
      <c r="J87" s="43">
        <f t="shared" si="7"/>
        <v>33.973343134885241</v>
      </c>
      <c r="K87" s="43">
        <f t="shared" si="8"/>
        <v>98.405207354055818</v>
      </c>
      <c r="N87" s="29"/>
      <c r="O87" s="54"/>
    </row>
    <row r="88" spans="2:26" ht="12.95" customHeight="1" outlineLevel="1" x14ac:dyDescent="0.2">
      <c r="B88" s="10" t="s">
        <v>43</v>
      </c>
      <c r="C88" s="76">
        <f>14370600169.31</f>
        <v>14370600169.309999</v>
      </c>
      <c r="D88" s="76">
        <f>14202994141.76</f>
        <v>14202994141.76</v>
      </c>
      <c r="E88" s="76">
        <f>14205354559.93</f>
        <v>14205354559.93</v>
      </c>
      <c r="F88" s="76">
        <f>47960589.1</f>
        <v>47960589.100000001</v>
      </c>
      <c r="G88" s="76">
        <f>0</f>
        <v>0</v>
      </c>
      <c r="H88" s="76">
        <f>828327.08</f>
        <v>828327.08</v>
      </c>
      <c r="I88" s="76">
        <f>0</f>
        <v>0</v>
      </c>
      <c r="J88" s="43">
        <f t="shared" si="7"/>
        <v>11.326548493987437</v>
      </c>
      <c r="K88" s="43">
        <f t="shared" si="8"/>
        <v>98.833688046599889</v>
      </c>
      <c r="N88" s="56"/>
      <c r="O88" s="54"/>
    </row>
    <row r="89" spans="2:26" ht="12.95" customHeight="1" outlineLevel="1" x14ac:dyDescent="0.2">
      <c r="B89" s="10" t="s">
        <v>42</v>
      </c>
      <c r="C89" s="69">
        <f>2947354935.83</f>
        <v>2947354935.8299999</v>
      </c>
      <c r="D89" s="69">
        <f>2800590950.73</f>
        <v>2800590950.73</v>
      </c>
      <c r="E89" s="69">
        <f>2800590950.73</f>
        <v>2800590950.73</v>
      </c>
      <c r="F89" s="69">
        <f>99069732.15</f>
        <v>99069732.150000006</v>
      </c>
      <c r="G89" s="69">
        <f>0</f>
        <v>0</v>
      </c>
      <c r="H89" s="69">
        <f>0</f>
        <v>0</v>
      </c>
      <c r="I89" s="69">
        <f>0</f>
        <v>0</v>
      </c>
      <c r="J89" s="43">
        <f t="shared" si="7"/>
        <v>2.2334043722512535</v>
      </c>
      <c r="K89" s="43">
        <f t="shared" si="8"/>
        <v>95.020484865401187</v>
      </c>
      <c r="N89" s="29"/>
      <c r="O89" s="54"/>
    </row>
    <row r="90" spans="2:26" ht="22.5" customHeight="1" outlineLevel="1" x14ac:dyDescent="0.2">
      <c r="B90" s="10" t="s">
        <v>71</v>
      </c>
      <c r="C90" s="76">
        <f>34721892.7</f>
        <v>34721892.700000003</v>
      </c>
      <c r="D90" s="76">
        <f>8399276.28</f>
        <v>8399276.2799999993</v>
      </c>
      <c r="E90" s="76">
        <f>8399276.28</f>
        <v>8399276.2799999993</v>
      </c>
      <c r="F90" s="76">
        <f>0</f>
        <v>0</v>
      </c>
      <c r="G90" s="76">
        <f>0</f>
        <v>0</v>
      </c>
      <c r="H90" s="76">
        <f>0</f>
        <v>0</v>
      </c>
      <c r="I90" s="76">
        <f>0</f>
        <v>0</v>
      </c>
      <c r="J90" s="43">
        <f t="shared" si="7"/>
        <v>6.6982221600796572E-3</v>
      </c>
      <c r="K90" s="43">
        <f t="shared" si="8"/>
        <v>24.190145256684115</v>
      </c>
      <c r="N90" s="56"/>
      <c r="O90" s="54"/>
    </row>
    <row r="91" spans="2:26" ht="22.5" customHeight="1" outlineLevel="1" x14ac:dyDescent="0.2">
      <c r="B91" s="10" t="s">
        <v>72</v>
      </c>
      <c r="C91" s="76">
        <f>6510699632.06</f>
        <v>6510699632.0600004</v>
      </c>
      <c r="D91" s="76">
        <f>6364704317.19001</f>
        <v>6364704317.1900101</v>
      </c>
      <c r="E91" s="76">
        <f>6365113972.73001</f>
        <v>6365113972.73001</v>
      </c>
      <c r="F91" s="76">
        <f>77762044.15</f>
        <v>77762044.150000006</v>
      </c>
      <c r="G91" s="76">
        <f>659.68</f>
        <v>659.68</v>
      </c>
      <c r="H91" s="76">
        <f>638678.31</f>
        <v>638678.31000000006</v>
      </c>
      <c r="I91" s="77">
        <f>0</f>
        <v>0</v>
      </c>
      <c r="J91" s="43">
        <f t="shared" si="7"/>
        <v>5.0756996291776693</v>
      </c>
      <c r="K91" s="43">
        <f t="shared" si="8"/>
        <v>97.757609425704729</v>
      </c>
      <c r="N91" s="56"/>
      <c r="O91" s="54"/>
    </row>
    <row r="92" spans="2:26" ht="12.95" customHeight="1" outlineLevel="1" x14ac:dyDescent="0.2">
      <c r="B92" s="10" t="s">
        <v>41</v>
      </c>
      <c r="C92" s="69">
        <f t="shared" ref="C92:I92" si="10">C86-C87-C88-C89-C90-C91</f>
        <v>39785827105.559998</v>
      </c>
      <c r="D92" s="69">
        <f t="shared" si="10"/>
        <v>37128039185.449982</v>
      </c>
      <c r="E92" s="69">
        <f>E86-E87-E88-E89-E90-E91</f>
        <v>37130216040.579987</v>
      </c>
      <c r="F92" s="69">
        <f t="shared" si="10"/>
        <v>1727121626.5100002</v>
      </c>
      <c r="G92" s="69">
        <f t="shared" si="10"/>
        <v>168045.33</v>
      </c>
      <c r="H92" s="69">
        <f t="shared" si="10"/>
        <v>11859486.459999999</v>
      </c>
      <c r="I92" s="77">
        <f t="shared" si="10"/>
        <v>27956453.579999983</v>
      </c>
      <c r="J92" s="43">
        <f t="shared" si="7"/>
        <v>29.60872419740037</v>
      </c>
      <c r="K92" s="43">
        <f t="shared" si="8"/>
        <v>93.31976205230481</v>
      </c>
      <c r="N92" s="29"/>
      <c r="O92" s="54"/>
    </row>
    <row r="93" spans="2:26" x14ac:dyDescent="0.2">
      <c r="B93" s="65" t="s">
        <v>13</v>
      </c>
      <c r="C93" s="75">
        <f>C5-C83</f>
        <v>-16250866414.709991</v>
      </c>
      <c r="D93" s="75">
        <f>D5-D83</f>
        <v>-11053638563.789993</v>
      </c>
      <c r="E93" s="61"/>
      <c r="F93" s="55"/>
      <c r="G93" s="55"/>
      <c r="H93" s="55"/>
      <c r="I93" s="131"/>
      <c r="J93" s="131"/>
      <c r="K93" s="37"/>
      <c r="L93" s="37"/>
      <c r="M93" s="4"/>
      <c r="N93" s="54"/>
      <c r="O93" s="55"/>
    </row>
    <row r="94" spans="2:26" ht="38.25" x14ac:dyDescent="0.2">
      <c r="B94" s="96" t="s">
        <v>109</v>
      </c>
      <c r="C94" s="75">
        <f>+C73-C86</f>
        <v>-3356207876.9399872</v>
      </c>
      <c r="D94" s="75">
        <f>+D73-D86</f>
        <v>668036906.49000549</v>
      </c>
      <c r="E94" s="61"/>
      <c r="F94" s="55"/>
      <c r="G94" s="55"/>
      <c r="H94" s="55"/>
      <c r="I94" s="55"/>
      <c r="J94" s="55"/>
      <c r="K94" s="37"/>
      <c r="L94" s="37"/>
      <c r="M94" s="4"/>
      <c r="N94" s="54"/>
      <c r="O94" s="55"/>
    </row>
    <row r="95" spans="2:26" ht="8.25" customHeight="1" x14ac:dyDescent="0.2">
      <c r="B95" s="38"/>
      <c r="C95" s="39"/>
      <c r="D95" s="39"/>
      <c r="E95" s="39"/>
      <c r="F95" s="40"/>
      <c r="G95" s="40"/>
      <c r="H95" s="40"/>
      <c r="I95" s="40"/>
      <c r="J95" s="41"/>
      <c r="K95" s="41"/>
      <c r="L95" s="42"/>
      <c r="M95" s="35"/>
    </row>
    <row r="96" spans="2:26" x14ac:dyDescent="0.2">
      <c r="B96" s="104" t="s">
        <v>111</v>
      </c>
      <c r="C96" s="57"/>
      <c r="D96" s="57"/>
      <c r="E96" s="57"/>
      <c r="F96" s="58"/>
      <c r="G96" s="58"/>
      <c r="H96" s="58"/>
      <c r="I96" s="58"/>
      <c r="J96" s="59"/>
      <c r="K96" s="59"/>
      <c r="L96" s="42"/>
      <c r="M96" s="35"/>
    </row>
    <row r="97" spans="2:13" ht="26.25" customHeight="1" x14ac:dyDescent="0.2">
      <c r="B97" s="65" t="s">
        <v>89</v>
      </c>
      <c r="C97" s="78">
        <f>8057297957.4</f>
        <v>8057297957.3999996</v>
      </c>
      <c r="D97" s="79">
        <f>7323450966.19</f>
        <v>7323450966.1899996</v>
      </c>
      <c r="E97" s="79">
        <f>7328177654.6</f>
        <v>7328177654.6000004</v>
      </c>
      <c r="F97" s="79">
        <f>22502173.32</f>
        <v>22502173.32</v>
      </c>
      <c r="G97" s="79">
        <f>0</f>
        <v>0</v>
      </c>
      <c r="H97" s="79">
        <f>602500.89</f>
        <v>602500.89</v>
      </c>
      <c r="I97" s="79">
        <f>36452577.47</f>
        <v>36452577.469999999</v>
      </c>
      <c r="J97" s="62">
        <f>IF($D$97=0,"",100*$D97/$D$97)</f>
        <v>100</v>
      </c>
      <c r="K97" s="43">
        <f>IF(C97=0,"",100*D97/C97)</f>
        <v>90.892145293745543</v>
      </c>
      <c r="L97" s="35"/>
    </row>
    <row r="98" spans="2:13" ht="15" customHeight="1" x14ac:dyDescent="0.2">
      <c r="B98" s="101" t="s">
        <v>76</v>
      </c>
      <c r="C98" s="80">
        <f>7345784852.52</f>
        <v>7345784852.5200005</v>
      </c>
      <c r="D98" s="76">
        <f>6729912305.50001</f>
        <v>6729912305.5000095</v>
      </c>
      <c r="E98" s="76">
        <f>6734511873.43001</f>
        <v>6734511873.4300098</v>
      </c>
      <c r="F98" s="76">
        <f>21583619.16</f>
        <v>21583619.16</v>
      </c>
      <c r="G98" s="76">
        <f>0</f>
        <v>0</v>
      </c>
      <c r="H98" s="76">
        <f>602500.89</f>
        <v>602500.89</v>
      </c>
      <c r="I98" s="76">
        <f>36452577.47</f>
        <v>36452577.469999999</v>
      </c>
      <c r="J98" s="62">
        <f>IF($D$97=0,"",100*$D98/$D$97)</f>
        <v>91.895369226473079</v>
      </c>
      <c r="K98" s="62">
        <f>IF(C98=0,"",100*D98/C98)</f>
        <v>91.615973522438338</v>
      </c>
      <c r="L98" s="35"/>
    </row>
    <row r="99" spans="2:13" x14ac:dyDescent="0.2">
      <c r="B99" s="102" t="s">
        <v>77</v>
      </c>
      <c r="C99" s="80">
        <f>C97-C98</f>
        <v>711513104.87999916</v>
      </c>
      <c r="D99" s="76">
        <f t="shared" ref="D99:I99" si="11">D97-D98</f>
        <v>593538660.68999004</v>
      </c>
      <c r="E99" s="76">
        <f t="shared" si="11"/>
        <v>593665781.16999054</v>
      </c>
      <c r="F99" s="76">
        <f t="shared" si="11"/>
        <v>918554.16000000015</v>
      </c>
      <c r="G99" s="76">
        <f t="shared" si="11"/>
        <v>0</v>
      </c>
      <c r="H99" s="76">
        <f t="shared" si="11"/>
        <v>0</v>
      </c>
      <c r="I99" s="76">
        <f t="shared" si="11"/>
        <v>0</v>
      </c>
      <c r="J99" s="62">
        <f>IF($D$97=0,"",100*$D99/$D$97)</f>
        <v>8.1046307735269316</v>
      </c>
      <c r="K99" s="62">
        <f>IF(C99=0,"",100*D99/C99)</f>
        <v>83.419216964400661</v>
      </c>
    </row>
    <row r="100" spans="2:13" ht="6" customHeight="1" x14ac:dyDescent="0.2"/>
    <row r="101" spans="2:13" ht="18" x14ac:dyDescent="0.2">
      <c r="B101" s="87" t="str">
        <f>CONCATENATE("Informacja z wykonania budżetów miast na prawach powiatu za ",$D$137," ",$C$138," rok    ",$C$140,"")</f>
        <v xml:space="preserve">Informacja z wykonania budżetów miast na prawach powiatu za IV Kwartały 2023 rok    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2:13" ht="6.75" customHeight="1" x14ac:dyDescent="0.2"/>
    <row r="103" spans="2:13" x14ac:dyDescent="0.2">
      <c r="B103" s="13" t="s">
        <v>14</v>
      </c>
      <c r="C103" s="51" t="s">
        <v>15</v>
      </c>
      <c r="D103" s="8" t="s">
        <v>1</v>
      </c>
      <c r="E103" s="8" t="s">
        <v>23</v>
      </c>
      <c r="F103" s="8" t="s">
        <v>24</v>
      </c>
    </row>
    <row r="104" spans="2:13" x14ac:dyDescent="0.2">
      <c r="B104" s="13"/>
      <c r="C104" s="115" t="s">
        <v>78</v>
      </c>
      <c r="D104" s="122"/>
      <c r="E104" s="125" t="s">
        <v>4</v>
      </c>
      <c r="F104" s="126"/>
    </row>
    <row r="105" spans="2:13" x14ac:dyDescent="0.2">
      <c r="B105" s="11">
        <v>1</v>
      </c>
      <c r="C105" s="14">
        <v>2</v>
      </c>
      <c r="D105" s="12">
        <v>3</v>
      </c>
      <c r="E105" s="12">
        <v>4</v>
      </c>
      <c r="F105" s="12">
        <v>5</v>
      </c>
    </row>
    <row r="106" spans="2:13" ht="25.5" x14ac:dyDescent="0.2">
      <c r="B106" s="63" t="s">
        <v>66</v>
      </c>
      <c r="C106" s="81">
        <f>19624698623.55</f>
        <v>19624698623.549999</v>
      </c>
      <c r="D106" s="74">
        <f>20228622792.31</f>
        <v>20228622792.310001</v>
      </c>
      <c r="E106" s="44">
        <f>IF($D$106=0,"",100*$D106/$D$106)</f>
        <v>100</v>
      </c>
      <c r="F106" s="36">
        <f t="shared" ref="F106:F113" si="12">IF(C106=0,"",100*D106/C106)</f>
        <v>103.07736786355171</v>
      </c>
    </row>
    <row r="107" spans="2:13" ht="22.5" x14ac:dyDescent="0.2">
      <c r="B107" s="97" t="s">
        <v>90</v>
      </c>
      <c r="C107" s="82">
        <f>11333930878.83</f>
        <v>11333930878.83</v>
      </c>
      <c r="D107" s="71">
        <f>9920294475.82</f>
        <v>9920294475.8199997</v>
      </c>
      <c r="E107" s="45">
        <f t="shared" ref="E107:E116" si="13">IF($D$106=0,"",100*$D107/$D$106)</f>
        <v>49.040879241622136</v>
      </c>
      <c r="F107" s="46">
        <f t="shared" si="12"/>
        <v>87.527395233630287</v>
      </c>
    </row>
    <row r="108" spans="2:13" ht="11.25" customHeight="1" x14ac:dyDescent="0.2">
      <c r="B108" s="99" t="s">
        <v>91</v>
      </c>
      <c r="C108" s="83">
        <f>1418000000</f>
        <v>1418000000</v>
      </c>
      <c r="D108" s="70">
        <f>1398000000</f>
        <v>1398000000</v>
      </c>
      <c r="E108" s="47">
        <f t="shared" si="13"/>
        <v>6.9109994009649327</v>
      </c>
      <c r="F108" s="43">
        <f t="shared" si="12"/>
        <v>98.589562764456986</v>
      </c>
    </row>
    <row r="109" spans="2:13" ht="12.95" customHeight="1" x14ac:dyDescent="0.2">
      <c r="B109" s="98" t="s">
        <v>92</v>
      </c>
      <c r="C109" s="83">
        <f>60547524.34</f>
        <v>60547524.340000004</v>
      </c>
      <c r="D109" s="70">
        <f>38522396.03</f>
        <v>38522396.030000001</v>
      </c>
      <c r="E109" s="47">
        <f t="shared" si="13"/>
        <v>0.19043509004797132</v>
      </c>
      <c r="F109" s="43">
        <f t="shared" si="12"/>
        <v>63.623404011831141</v>
      </c>
    </row>
    <row r="110" spans="2:13" ht="45.75" customHeight="1" x14ac:dyDescent="0.2">
      <c r="B110" s="98" t="s">
        <v>101</v>
      </c>
      <c r="C110" s="83">
        <f>24754092.04</f>
        <v>24754092.039999999</v>
      </c>
      <c r="D110" s="70">
        <f>62889538.33</f>
        <v>62889538.329999998</v>
      </c>
      <c r="E110" s="47">
        <f t="shared" si="13"/>
        <v>0.31089382097681773</v>
      </c>
      <c r="F110" s="43">
        <f t="shared" si="12"/>
        <v>254.05714024322583</v>
      </c>
    </row>
    <row r="111" spans="2:13" ht="35.25" customHeight="1" x14ac:dyDescent="0.2">
      <c r="B111" s="98" t="s">
        <v>97</v>
      </c>
      <c r="C111" s="83">
        <f>1107689113.98</f>
        <v>1107689113.98</v>
      </c>
      <c r="D111" s="70">
        <f>1422081429.66</f>
        <v>1422081429.6600001</v>
      </c>
      <c r="E111" s="47">
        <f t="shared" si="13"/>
        <v>7.0300457142372066</v>
      </c>
      <c r="F111" s="43">
        <f t="shared" si="12"/>
        <v>128.38272144341724</v>
      </c>
    </row>
    <row r="112" spans="2:13" ht="12.95" customHeight="1" x14ac:dyDescent="0.2">
      <c r="B112" s="98" t="s">
        <v>93</v>
      </c>
      <c r="C112" s="83">
        <f>22960000</f>
        <v>22960000</v>
      </c>
      <c r="D112" s="70">
        <f>21206328</f>
        <v>21206328</v>
      </c>
      <c r="E112" s="47">
        <f t="shared" si="13"/>
        <v>0.10483327618359504</v>
      </c>
      <c r="F112" s="43">
        <f t="shared" si="12"/>
        <v>92.362055749128913</v>
      </c>
    </row>
    <row r="113" spans="2:8" ht="35.25" customHeight="1" x14ac:dyDescent="0.2">
      <c r="B113" s="98" t="s">
        <v>96</v>
      </c>
      <c r="C113" s="83">
        <f>4721293754.07</f>
        <v>4721293754.0699997</v>
      </c>
      <c r="D113" s="70">
        <f>5980105364.18</f>
        <v>5980105364.1800003</v>
      </c>
      <c r="E113" s="47">
        <f t="shared" si="13"/>
        <v>29.562592696391388</v>
      </c>
      <c r="F113" s="43">
        <f t="shared" si="12"/>
        <v>126.66242931876118</v>
      </c>
    </row>
    <row r="114" spans="2:8" ht="56.25" x14ac:dyDescent="0.2">
      <c r="B114" s="107" t="s">
        <v>123</v>
      </c>
      <c r="C114" s="83">
        <f>0</f>
        <v>0</v>
      </c>
      <c r="D114" s="70">
        <f>0</f>
        <v>0</v>
      </c>
      <c r="E114" s="47">
        <f t="shared" si="13"/>
        <v>0</v>
      </c>
      <c r="F114" s="43" t="str">
        <f t="shared" ref="F114:F122" si="14">IF(C114=0,"",100*D114/C114)</f>
        <v/>
      </c>
    </row>
    <row r="115" spans="2:8" x14ac:dyDescent="0.2">
      <c r="B115" s="107" t="s">
        <v>119</v>
      </c>
      <c r="C115" s="83">
        <f>2353523260.29</f>
        <v>2353523260.29</v>
      </c>
      <c r="D115" s="70">
        <f>2783523260.29</f>
        <v>2783523260.29</v>
      </c>
      <c r="E115" s="47">
        <f t="shared" si="13"/>
        <v>13.760320160540877</v>
      </c>
      <c r="F115" s="43">
        <f t="shared" si="14"/>
        <v>118.27048014588203</v>
      </c>
    </row>
    <row r="116" spans="2:8" ht="22.5" x14ac:dyDescent="0.2">
      <c r="B116" s="108" t="s">
        <v>120</v>
      </c>
      <c r="C116" s="83">
        <f>2331302284.73</f>
        <v>2331302284.73</v>
      </c>
      <c r="D116" s="70">
        <f>2331302284.73</f>
        <v>2331302284.73</v>
      </c>
      <c r="E116" s="47">
        <f t="shared" si="13"/>
        <v>11.524770166836344</v>
      </c>
      <c r="F116" s="43">
        <f t="shared" si="14"/>
        <v>100</v>
      </c>
    </row>
    <row r="117" spans="2:8" ht="25.5" x14ac:dyDescent="0.2">
      <c r="B117" s="66" t="s">
        <v>67</v>
      </c>
      <c r="C117" s="84">
        <f>3354138700.84</f>
        <v>3354138700.8400002</v>
      </c>
      <c r="D117" s="74">
        <f>3747477499.97</f>
        <v>3747477499.9699998</v>
      </c>
      <c r="E117" s="48">
        <f t="shared" ref="E117:E122" si="15">IF($D$117=0,"",100*$D117/$D$117)</f>
        <v>100</v>
      </c>
      <c r="F117" s="36">
        <f t="shared" si="14"/>
        <v>111.72696880518069</v>
      </c>
    </row>
    <row r="118" spans="2:8" ht="22.5" x14ac:dyDescent="0.2">
      <c r="B118" s="98" t="s">
        <v>94</v>
      </c>
      <c r="C118" s="83">
        <f>3041315515.92</f>
        <v>3041315515.9200001</v>
      </c>
      <c r="D118" s="70">
        <f>3036794943.48</f>
        <v>3036794943.48</v>
      </c>
      <c r="E118" s="47">
        <f t="shared" si="15"/>
        <v>81.035708513374956</v>
      </c>
      <c r="F118" s="43">
        <f t="shared" si="14"/>
        <v>99.851361280461148</v>
      </c>
    </row>
    <row r="119" spans="2:8" ht="12.95" customHeight="1" x14ac:dyDescent="0.2">
      <c r="B119" s="99" t="s">
        <v>95</v>
      </c>
      <c r="C119" s="83">
        <f>200116000</f>
        <v>200116000</v>
      </c>
      <c r="D119" s="70">
        <f>188116000</f>
        <v>188116000</v>
      </c>
      <c r="E119" s="47">
        <f t="shared" si="15"/>
        <v>5.0198033210741348</v>
      </c>
      <c r="F119" s="43">
        <f t="shared" si="14"/>
        <v>94.003477982769994</v>
      </c>
    </row>
    <row r="120" spans="2:8" ht="12.95" customHeight="1" x14ac:dyDescent="0.2">
      <c r="B120" s="98" t="s">
        <v>110</v>
      </c>
      <c r="C120" s="83">
        <f>82648088</f>
        <v>82648088</v>
      </c>
      <c r="D120" s="70">
        <f>72884288.44</f>
        <v>72884288.439999998</v>
      </c>
      <c r="E120" s="47">
        <f t="shared" si="15"/>
        <v>1.9448892872761336</v>
      </c>
      <c r="F120" s="43">
        <f t="shared" si="14"/>
        <v>88.186297110708722</v>
      </c>
    </row>
    <row r="121" spans="2:8" ht="12.95" customHeight="1" x14ac:dyDescent="0.2">
      <c r="B121" s="98" t="s">
        <v>121</v>
      </c>
      <c r="C121" s="83">
        <f>230175096.92</f>
        <v>230175096.91999999</v>
      </c>
      <c r="D121" s="70">
        <f>637798268.05</f>
        <v>637798268.04999995</v>
      </c>
      <c r="E121" s="47">
        <f t="shared" si="15"/>
        <v>17.019402199348917</v>
      </c>
      <c r="F121" s="43">
        <f t="shared" si="14"/>
        <v>277.09264667831292</v>
      </c>
    </row>
    <row r="122" spans="2:8" ht="22.5" x14ac:dyDescent="0.2">
      <c r="B122" s="108" t="s">
        <v>122</v>
      </c>
      <c r="C122" s="83">
        <f>189146765.86</f>
        <v>189146765.86000001</v>
      </c>
      <c r="D122" s="70">
        <f>173464644.78</f>
        <v>173464644.78</v>
      </c>
      <c r="E122" s="47">
        <f t="shared" si="15"/>
        <v>4.6288375255458813</v>
      </c>
      <c r="F122" s="43">
        <f t="shared" si="14"/>
        <v>91.709019708215692</v>
      </c>
    </row>
    <row r="123" spans="2:8" x14ac:dyDescent="0.2">
      <c r="B123" s="26"/>
      <c r="C123" s="26"/>
      <c r="D123" s="26"/>
      <c r="E123" s="26"/>
      <c r="F123" s="26"/>
      <c r="G123" s="26"/>
      <c r="H123" s="26"/>
    </row>
    <row r="124" spans="2:8" x14ac:dyDescent="0.2">
      <c r="B124" s="13" t="s">
        <v>14</v>
      </c>
      <c r="C124" s="11" t="s">
        <v>15</v>
      </c>
      <c r="D124" s="11" t="s">
        <v>1</v>
      </c>
      <c r="E124" s="60"/>
    </row>
    <row r="125" spans="2:8" x14ac:dyDescent="0.2">
      <c r="B125" s="13"/>
      <c r="C125" s="123" t="s">
        <v>78</v>
      </c>
      <c r="D125" s="124"/>
      <c r="E125" s="60"/>
    </row>
    <row r="126" spans="2:8" x14ac:dyDescent="0.2">
      <c r="B126" s="11">
        <v>1</v>
      </c>
      <c r="C126" s="11">
        <v>2</v>
      </c>
      <c r="D126" s="11">
        <v>3</v>
      </c>
      <c r="E126" s="60"/>
    </row>
    <row r="127" spans="2:8" ht="36" customHeight="1" x14ac:dyDescent="0.2">
      <c r="B127" s="64" t="s">
        <v>124</v>
      </c>
      <c r="C127" s="83">
        <f>16258462167.67</f>
        <v>16258462167.67</v>
      </c>
      <c r="D127" s="70">
        <f>11229881081.42</f>
        <v>11229881081.42</v>
      </c>
      <c r="E127" s="60"/>
    </row>
    <row r="128" spans="2:8" ht="33.75" x14ac:dyDescent="0.2">
      <c r="B128" s="103" t="s">
        <v>80</v>
      </c>
      <c r="C128" s="83">
        <f>1093060978.56</f>
        <v>1093060978.5599999</v>
      </c>
      <c r="D128" s="70">
        <f>975676903.26</f>
        <v>975676903.25999999</v>
      </c>
      <c r="E128" s="60"/>
    </row>
    <row r="129" spans="2:8" ht="12.95" customHeight="1" x14ac:dyDescent="0.2">
      <c r="B129" s="103" t="s">
        <v>81</v>
      </c>
      <c r="C129" s="83">
        <f>8073640343.34</f>
        <v>8073640343.3400002</v>
      </c>
      <c r="D129" s="70">
        <f>6016059105.64</f>
        <v>6016059105.6400003</v>
      </c>
      <c r="E129" s="60"/>
    </row>
    <row r="130" spans="2:8" ht="22.5" x14ac:dyDescent="0.2">
      <c r="B130" s="103" t="s">
        <v>82</v>
      </c>
      <c r="C130" s="83">
        <f>22960000</f>
        <v>22960000</v>
      </c>
      <c r="D130" s="70">
        <f>21206328</f>
        <v>21206328</v>
      </c>
      <c r="E130" s="60"/>
    </row>
    <row r="131" spans="2:8" ht="58.5" customHeight="1" x14ac:dyDescent="0.2">
      <c r="B131" s="103" t="s">
        <v>104</v>
      </c>
      <c r="C131" s="83">
        <f>24754092.04</f>
        <v>24754092.039999999</v>
      </c>
      <c r="D131" s="70">
        <f>24250846.75</f>
        <v>24250846.75</v>
      </c>
      <c r="E131" s="60"/>
    </row>
    <row r="132" spans="2:8" ht="78.75" x14ac:dyDescent="0.2">
      <c r="B132" s="103" t="s">
        <v>83</v>
      </c>
      <c r="C132" s="83">
        <f>3664955801.37</f>
        <v>3664955801.3699999</v>
      </c>
      <c r="D132" s="70">
        <f>1263435818.07</f>
        <v>1263435818.0699999</v>
      </c>
      <c r="E132" s="60"/>
    </row>
    <row r="133" spans="2:8" ht="147" customHeight="1" x14ac:dyDescent="0.2">
      <c r="B133" s="103" t="s">
        <v>102</v>
      </c>
      <c r="C133" s="83">
        <f>1096988808.6</f>
        <v>1096988808.5999999</v>
      </c>
      <c r="D133" s="70">
        <f>951083055.62</f>
        <v>951083055.62</v>
      </c>
      <c r="E133" s="35"/>
    </row>
    <row r="134" spans="2:8" ht="22.5" x14ac:dyDescent="0.2">
      <c r="B134" s="103" t="s">
        <v>103</v>
      </c>
      <c r="C134" s="83">
        <f>24432442.76</f>
        <v>24432442.760000002</v>
      </c>
      <c r="D134" s="70">
        <f>18820748.92</f>
        <v>18820748.920000002</v>
      </c>
      <c r="E134" s="35"/>
    </row>
    <row r="135" spans="2:8" ht="22.5" x14ac:dyDescent="0.2">
      <c r="B135" s="109" t="s">
        <v>120</v>
      </c>
      <c r="C135" s="83">
        <f>2257669701</f>
        <v>2257669701</v>
      </c>
      <c r="D135" s="70">
        <f>1959348275.16</f>
        <v>1959348275.1600001</v>
      </c>
      <c r="E135" s="35"/>
    </row>
    <row r="136" spans="2:8" x14ac:dyDescent="0.2">
      <c r="B136" s="49"/>
      <c r="C136" s="41"/>
      <c r="D136" s="41"/>
      <c r="E136" s="41"/>
      <c r="F136" s="41"/>
      <c r="G136" s="41"/>
      <c r="H136" s="41"/>
    </row>
    <row r="137" spans="2:8" ht="12" customHeight="1" x14ac:dyDescent="0.2">
      <c r="B137" s="50" t="s">
        <v>68</v>
      </c>
      <c r="C137" s="50">
        <f>4</f>
        <v>4</v>
      </c>
      <c r="D137" s="50" t="str">
        <f>IF(C137=1,"I Kwartał",IF(C137=2,"II Kwartały",IF(C137=3,"III Kwartały",IF(C137=4,"IV Kwartały",IF(C137="M1","Styczeń",IF(C137="M11","Listopad",IF(C137="M12","Grudzień","-")))))))</f>
        <v>IV Kwartały</v>
      </c>
    </row>
    <row r="138" spans="2:8" x14ac:dyDescent="0.2">
      <c r="B138" s="50" t="s">
        <v>69</v>
      </c>
      <c r="C138" s="85">
        <f>2023</f>
        <v>2023</v>
      </c>
      <c r="D138" s="49"/>
    </row>
    <row r="139" spans="2:8" x14ac:dyDescent="0.2">
      <c r="B139" s="50" t="s">
        <v>70</v>
      </c>
      <c r="C139" s="128" t="str">
        <f>"Mar 15 2024 12:00AM"</f>
        <v>Mar 15 2024 12:00AM</v>
      </c>
      <c r="D139" s="129"/>
    </row>
    <row r="140" spans="2:8" hidden="1" x14ac:dyDescent="0.2">
      <c r="B140" s="50" t="s">
        <v>73</v>
      </c>
      <c r="C140" s="86" t="str">
        <f>""</f>
        <v/>
      </c>
      <c r="D140" s="49"/>
    </row>
  </sheetData>
  <mergeCells count="20">
    <mergeCell ref="C104:D104"/>
    <mergeCell ref="C125:D125"/>
    <mergeCell ref="E104:F104"/>
    <mergeCell ref="J81:K81"/>
    <mergeCell ref="C139:D139"/>
    <mergeCell ref="I93:J93"/>
    <mergeCell ref="K78:K80"/>
    <mergeCell ref="F79:F80"/>
    <mergeCell ref="F78:H78"/>
    <mergeCell ref="I78:I80"/>
    <mergeCell ref="C81:I81"/>
    <mergeCell ref="G79:H79"/>
    <mergeCell ref="D78:D80"/>
    <mergeCell ref="E78:E80"/>
    <mergeCell ref="B2:B3"/>
    <mergeCell ref="C78:C80"/>
    <mergeCell ref="B78:B81"/>
    <mergeCell ref="J78:J80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5" max="16383" man="1"/>
    <brk id="100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2024-03-27T09:03:38Z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