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3\III kwartał\Dane ostateczne 2023.11.14\BIP MF\Zbiorówki\"/>
    </mc:Choice>
  </mc:AlternateContent>
  <xr:revisionPtr revIDLastSave="0" documentId="13_ncr:1_{1303B8D0-8F05-4799-8E33-A6272B87F0C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doch_wyd!$A$1:$M$119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0" i="4" l="1"/>
  <c r="C119" i="4"/>
  <c r="C118" i="4"/>
  <c r="C117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2" i="4"/>
  <c r="C102" i="4"/>
  <c r="D101" i="4"/>
  <c r="C101" i="4"/>
  <c r="D100" i="4"/>
  <c r="C100" i="4"/>
  <c r="D99" i="4"/>
  <c r="C99" i="4"/>
  <c r="D98" i="4"/>
  <c r="C98" i="4"/>
  <c r="D97" i="4"/>
  <c r="C97" i="4"/>
  <c r="D96" i="4"/>
  <c r="C96" i="4"/>
  <c r="D95" i="4"/>
  <c r="C95" i="4"/>
  <c r="D94" i="4"/>
  <c r="C94" i="4"/>
  <c r="D93" i="4"/>
  <c r="C93" i="4"/>
  <c r="D92" i="4"/>
  <c r="C92" i="4"/>
  <c r="D91" i="4"/>
  <c r="C91" i="4"/>
  <c r="D90" i="4"/>
  <c r="C90" i="4"/>
  <c r="D89" i="4"/>
  <c r="C89" i="4"/>
  <c r="D88" i="4"/>
  <c r="C88" i="4"/>
  <c r="D87" i="4"/>
  <c r="C87" i="4"/>
  <c r="D86" i="4"/>
  <c r="C86" i="4"/>
  <c r="I79" i="4"/>
  <c r="H79" i="4"/>
  <c r="G79" i="4"/>
  <c r="F79" i="4"/>
  <c r="E79" i="4"/>
  <c r="D79" i="4"/>
  <c r="C79" i="4"/>
  <c r="I78" i="4"/>
  <c r="H78" i="4"/>
  <c r="G78" i="4"/>
  <c r="F78" i="4"/>
  <c r="E78" i="4"/>
  <c r="D78" i="4"/>
  <c r="C78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G70" i="4"/>
  <c r="F70" i="4"/>
  <c r="E70" i="4"/>
  <c r="D70" i="4"/>
  <c r="C70" i="4"/>
  <c r="I69" i="4"/>
  <c r="H69" i="4"/>
  <c r="G69" i="4"/>
  <c r="F69" i="4"/>
  <c r="E69" i="4"/>
  <c r="D69" i="4"/>
  <c r="C69" i="4"/>
  <c r="I68" i="4"/>
  <c r="H68" i="4"/>
  <c r="G68" i="4"/>
  <c r="F68" i="4"/>
  <c r="E68" i="4"/>
  <c r="D68" i="4"/>
  <c r="C68" i="4"/>
  <c r="I66" i="4"/>
  <c r="H66" i="4"/>
  <c r="G66" i="4"/>
  <c r="F66" i="4"/>
  <c r="E66" i="4"/>
  <c r="D66" i="4"/>
  <c r="C66" i="4"/>
  <c r="I65" i="4"/>
  <c r="H65" i="4"/>
  <c r="G65" i="4"/>
  <c r="F65" i="4"/>
  <c r="E65" i="4"/>
  <c r="D65" i="4"/>
  <c r="C65" i="4"/>
  <c r="I64" i="4"/>
  <c r="H64" i="4"/>
  <c r="G64" i="4"/>
  <c r="F64" i="4"/>
  <c r="E64" i="4"/>
  <c r="D64" i="4"/>
  <c r="C64" i="4"/>
  <c r="I54" i="4"/>
  <c r="H54" i="4"/>
  <c r="G54" i="4"/>
  <c r="F54" i="4"/>
  <c r="E54" i="4"/>
  <c r="D54" i="4"/>
  <c r="C54" i="4"/>
  <c r="D51" i="4"/>
  <c r="C51" i="4"/>
  <c r="D50" i="4"/>
  <c r="C50" i="4"/>
  <c r="D49" i="4"/>
  <c r="C49" i="4"/>
  <c r="D48" i="4"/>
  <c r="C48" i="4"/>
  <c r="D47" i="4"/>
  <c r="C47" i="4"/>
  <c r="D45" i="4"/>
  <c r="C45" i="4"/>
  <c r="D44" i="4"/>
  <c r="C44" i="4"/>
  <c r="D43" i="4"/>
  <c r="C43" i="4"/>
  <c r="D42" i="4"/>
  <c r="C42" i="4"/>
  <c r="D41" i="4"/>
  <c r="C41" i="4"/>
  <c r="D40" i="4"/>
  <c r="C40" i="4"/>
  <c r="D39" i="4"/>
  <c r="C39" i="4"/>
  <c r="D38" i="4"/>
  <c r="C38" i="4"/>
  <c r="D37" i="4"/>
  <c r="C37" i="4"/>
  <c r="D36" i="4"/>
  <c r="C36" i="4"/>
  <c r="D35" i="4"/>
  <c r="C35" i="4"/>
  <c r="D34" i="4"/>
  <c r="C34" i="4"/>
  <c r="D33" i="4"/>
  <c r="C33" i="4"/>
  <c r="D32" i="4"/>
  <c r="C32" i="4"/>
  <c r="D31" i="4"/>
  <c r="C31" i="4"/>
  <c r="D30" i="4"/>
  <c r="C30" i="4"/>
  <c r="D29" i="4"/>
  <c r="C29" i="4"/>
  <c r="D28" i="4"/>
  <c r="C28" i="4"/>
  <c r="D27" i="4"/>
  <c r="C27" i="4"/>
  <c r="D26" i="4"/>
  <c r="C26" i="4"/>
  <c r="D25" i="4"/>
  <c r="C25" i="4"/>
  <c r="D24" i="4"/>
  <c r="C24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G6" i="4"/>
  <c r="F6" i="4"/>
  <c r="E6" i="4"/>
  <c r="D6" i="4"/>
  <c r="C6" i="4"/>
  <c r="K33" i="4" l="1"/>
  <c r="I7" i="4"/>
  <c r="I21" i="4" s="1"/>
  <c r="K34" i="4"/>
  <c r="K54" i="4"/>
  <c r="K65" i="4"/>
  <c r="E80" i="4"/>
  <c r="K100" i="4"/>
  <c r="K32" i="4"/>
  <c r="K45" i="4"/>
  <c r="K66" i="4"/>
  <c r="G80" i="4"/>
  <c r="K15" i="4"/>
  <c r="K47" i="4"/>
  <c r="K101" i="4"/>
  <c r="K88" i="4"/>
  <c r="K17" i="4"/>
  <c r="K39" i="4"/>
  <c r="K69" i="4"/>
  <c r="D23" i="4"/>
  <c r="D22" i="4" s="1"/>
  <c r="F67" i="4"/>
  <c r="F73" i="4" s="1"/>
  <c r="K27" i="4"/>
  <c r="G67" i="4"/>
  <c r="G73" i="4" s="1"/>
  <c r="K79" i="4"/>
  <c r="H53" i="4"/>
  <c r="H55" i="4" s="1"/>
  <c r="K20" i="4"/>
  <c r="K51" i="4"/>
  <c r="K89" i="4"/>
  <c r="K8" i="4"/>
  <c r="K38" i="4"/>
  <c r="K13" i="4"/>
  <c r="K26" i="4"/>
  <c r="E67" i="4"/>
  <c r="E73" i="4" s="1"/>
  <c r="K18" i="4"/>
  <c r="K40" i="4"/>
  <c r="D117" i="4"/>
  <c r="B57" i="4" s="1"/>
  <c r="K28" i="4"/>
  <c r="K44" i="4"/>
  <c r="H67" i="4"/>
  <c r="H73" i="4" s="1"/>
  <c r="D80" i="4"/>
  <c r="K10" i="4"/>
  <c r="K71" i="4"/>
  <c r="F80" i="4"/>
  <c r="K90" i="4"/>
  <c r="K96" i="4"/>
  <c r="K102" i="4"/>
  <c r="K78" i="4"/>
  <c r="K29" i="4"/>
  <c r="K48" i="4"/>
  <c r="K68" i="4"/>
  <c r="K14" i="4"/>
  <c r="K24" i="4"/>
  <c r="K42" i="4"/>
  <c r="K16" i="4"/>
  <c r="K64" i="4"/>
  <c r="K87" i="4"/>
  <c r="K93" i="4"/>
  <c r="K99" i="4"/>
  <c r="K12" i="4"/>
  <c r="K91" i="4"/>
  <c r="K97" i="4"/>
  <c r="C53" i="4"/>
  <c r="K19" i="4"/>
  <c r="K35" i="4"/>
  <c r="K41" i="4"/>
  <c r="J78" i="4"/>
  <c r="J80" i="4"/>
  <c r="J79" i="4"/>
  <c r="J101" i="4"/>
  <c r="J102" i="4"/>
  <c r="J100" i="4"/>
  <c r="J43" i="4"/>
  <c r="J32" i="4"/>
  <c r="J35" i="4"/>
  <c r="J10" i="4"/>
  <c r="J45" i="4"/>
  <c r="J12" i="4"/>
  <c r="J24" i="4"/>
  <c r="J31" i="4"/>
  <c r="J20" i="4"/>
  <c r="J11" i="4"/>
  <c r="J34" i="4"/>
  <c r="D53" i="4"/>
  <c r="D55" i="4" s="1"/>
  <c r="J8" i="4"/>
  <c r="J27" i="4"/>
  <c r="J39" i="4"/>
  <c r="J50" i="4"/>
  <c r="J19" i="4"/>
  <c r="J38" i="4"/>
  <c r="J26" i="4"/>
  <c r="J51" i="4"/>
  <c r="J48" i="4"/>
  <c r="J6" i="4"/>
  <c r="J54" i="4"/>
  <c r="J9" i="4"/>
  <c r="J33" i="4"/>
  <c r="J44" i="4"/>
  <c r="J14" i="4"/>
  <c r="J30" i="4"/>
  <c r="J37" i="4"/>
  <c r="K86" i="4"/>
  <c r="K92" i="4"/>
  <c r="K98" i="4"/>
  <c r="E53" i="4"/>
  <c r="E55" i="4" s="1"/>
  <c r="K9" i="4"/>
  <c r="K30" i="4"/>
  <c r="K36" i="4"/>
  <c r="K49" i="4"/>
  <c r="K70" i="4"/>
  <c r="J86" i="4"/>
  <c r="J89" i="4"/>
  <c r="J96" i="4"/>
  <c r="J93" i="4"/>
  <c r="J91" i="4"/>
  <c r="J90" i="4"/>
  <c r="J87" i="4"/>
  <c r="F7" i="4"/>
  <c r="F21" i="4" s="1"/>
  <c r="F53" i="4"/>
  <c r="F55" i="4" s="1"/>
  <c r="G7" i="4"/>
  <c r="G21" i="4" s="1"/>
  <c r="K11" i="4"/>
  <c r="K25" i="4"/>
  <c r="K31" i="4"/>
  <c r="K37" i="4"/>
  <c r="K43" i="4"/>
  <c r="K50" i="4"/>
  <c r="J64" i="4"/>
  <c r="K72" i="4"/>
  <c r="J42" i="4"/>
  <c r="C67" i="4"/>
  <c r="C73" i="4" s="1"/>
  <c r="K6" i="4"/>
  <c r="E7" i="4"/>
  <c r="E21" i="4" s="1"/>
  <c r="J25" i="4"/>
  <c r="J36" i="4"/>
  <c r="J47" i="4"/>
  <c r="C23" i="4"/>
  <c r="C22" i="4" s="1"/>
  <c r="C74" i="4"/>
  <c r="J49" i="4"/>
  <c r="J28" i="4"/>
  <c r="J17" i="4"/>
  <c r="J40" i="4"/>
  <c r="J98" i="4"/>
  <c r="J41" i="4"/>
  <c r="J15" i="4"/>
  <c r="J13" i="4"/>
  <c r="I67" i="4"/>
  <c r="I73" i="4" s="1"/>
  <c r="H80" i="4"/>
  <c r="D46" i="4"/>
  <c r="J46" i="4" s="1"/>
  <c r="J97" i="4"/>
  <c r="J18" i="4"/>
  <c r="J29" i="4"/>
  <c r="J16" i="4"/>
  <c r="I80" i="4"/>
  <c r="J71" i="4"/>
  <c r="I53" i="4"/>
  <c r="I55" i="4" s="1"/>
  <c r="D67" i="4"/>
  <c r="D73" i="4" s="1"/>
  <c r="J73" i="4" s="1"/>
  <c r="G53" i="4"/>
  <c r="G55" i="4" s="1"/>
  <c r="J88" i="4"/>
  <c r="J70" i="4"/>
  <c r="J69" i="4"/>
  <c r="H7" i="4"/>
  <c r="H21" i="4" s="1"/>
  <c r="K67" i="4"/>
  <c r="J99" i="4"/>
  <c r="J65" i="4"/>
  <c r="C80" i="4"/>
  <c r="J92" i="4"/>
  <c r="C46" i="4"/>
  <c r="D74" i="4"/>
  <c r="J66" i="4"/>
  <c r="J72" i="4"/>
  <c r="J68" i="4"/>
  <c r="J67" i="4" l="1"/>
  <c r="K73" i="4"/>
  <c r="D75" i="4"/>
  <c r="B1" i="4"/>
  <c r="B81" i="4"/>
  <c r="K80" i="4"/>
  <c r="D7" i="4"/>
  <c r="J7" i="4" s="1"/>
  <c r="K46" i="4"/>
  <c r="J22" i="4"/>
  <c r="J23" i="4"/>
  <c r="J55" i="4"/>
  <c r="J53" i="4"/>
  <c r="K53" i="4"/>
  <c r="C55" i="4"/>
  <c r="K23" i="4"/>
  <c r="C7" i="4"/>
  <c r="K22" i="4"/>
  <c r="D21" i="4"/>
  <c r="J21" i="4" s="1"/>
  <c r="L8" i="4"/>
  <c r="L12" i="4"/>
  <c r="L9" i="4"/>
  <c r="K55" i="4"/>
  <c r="C75" i="4"/>
  <c r="L15" i="4" l="1"/>
  <c r="L19" i="4"/>
  <c r="L18" i="4"/>
  <c r="L13" i="4"/>
  <c r="L10" i="4"/>
  <c r="L20" i="4"/>
  <c r="L17" i="4"/>
  <c r="L14" i="4"/>
  <c r="L7" i="4"/>
  <c r="L11" i="4"/>
  <c r="L16" i="4"/>
  <c r="L21" i="4"/>
  <c r="K7" i="4"/>
  <c r="C21" i="4"/>
  <c r="K21" i="4" s="1"/>
</calcChain>
</file>

<file path=xl/sharedStrings.xml><?xml version="1.0" encoding="utf-8"?>
<sst xmlns="http://schemas.openxmlformats.org/spreadsheetml/2006/main" count="370" uniqueCount="115">
  <si>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</si>
  <si>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</si>
  <si>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</si>
  <si>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</si>
  <si>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</si>
  <si>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</si>
  <si>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</si>
  <si>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</si>
  <si>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</si>
  <si>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</si>
  <si>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</si>
  <si>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</si>
  <si>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</si>
  <si>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</si>
  <si>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</si>
  <si>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</si>
  <si>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</si>
  <si>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</si>
  <si>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</si>
  <si>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 xml:space="preserve">podatek dochodowy od osób fizycznych 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</si>
  <si>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</si>
  <si>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</si>
  <si>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</si>
  <si>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</si>
  <si>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</si>
  <si>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</si>
  <si>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Struktura</t>
  </si>
  <si>
    <t>Wskaźnik</t>
  </si>
  <si>
    <t xml:space="preserve">podatek od spadków i darowizn       </t>
  </si>
  <si>
    <t>podatek od czynności cywilnoprawnych</t>
  </si>
  <si>
    <t xml:space="preserve">wpływy z opłaty skarbowej        </t>
  </si>
  <si>
    <t>wpływy z opłaty eksploatacyjnej</t>
  </si>
  <si>
    <t>wpływy z opłaty targowej</t>
  </si>
  <si>
    <t>w tym wymagalne:</t>
  </si>
  <si>
    <t xml:space="preserve">podatek dochodowy od osób prawnych 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</si>
  <si>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</si>
  <si>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</si>
  <si>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</si>
  <si>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</si>
  <si>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</si>
  <si>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</si>
  <si>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</si>
  <si>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</si>
  <si>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</si>
  <si>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</si>
  <si>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</si>
  <si>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</si>
  <si>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</si>
  <si>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</si>
  <si>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</si>
  <si>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</si>
  <si>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</si>
  <si>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</si>
  <si>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</si>
  <si>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</si>
  <si>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</si>
  <si>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</si>
  <si>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</si>
  <si>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</si>
  <si>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</si>
  <si>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</si>
  <si>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</si>
  <si>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</si>
  <si>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</si>
  <si>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</si>
  <si>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</si>
  <si>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</si>
  <si>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</si>
  <si>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</si>
  <si>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</si>
  <si>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</si>
  <si>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</si>
  <si>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</si>
  <si>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</si>
  <si>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</si>
  <si>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</si>
  <si>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</si>
  <si>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</si>
  <si>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</si>
  <si>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</si>
  <si>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</si>
  <si>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</si>
  <si>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</si>
  <si>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</si>
  <si>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</si>
  <si>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</si>
  <si>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</si>
  <si>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</si>
  <si>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</si>
  <si>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</si>
  <si>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</si>
  <si>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</si>
  <si>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</si>
  <si>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</si>
  <si>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</si>
  <si>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</si>
  <si>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</si>
  <si>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</si>
  <si>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</si>
  <si>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</si>
  <si>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</si>
  <si>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Dochody bieżące 
minus 
wydatki bieżące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</si>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</sst>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z_ł_-;\-* #,##0.00\ _z_ł_-;_-* &quot;-&quot;??\ _z_ł_-;_-@_-"/>
    <numFmt numFmtId="165" formatCode="#,##0.0"/>
    <numFmt numFmtId="166" formatCode="dd/mm/yy\ h:mm;@"/>
  </numFmts>
  <fonts count="17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5" fillId="0" borderId="0"/>
    <xf numFmtId="0" fontId="15" fillId="0" borderId="0"/>
  </cellStyleXfs>
  <cellXfs count="132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6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6" fillId="4" borderId="1" xfId="3" applyFont="1" applyFill="1" applyBorder="1" applyAlignment="1">
      <alignment horizontal="left" vertical="center" wrapText="1"/>
    </xf>
    <xf numFmtId="0" fontId="16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7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20"/>
  <sheetViews>
    <sheetView tabSelected="1" topLeftCell="B1" zoomScaleNormal="100" workbookViewId="0">
      <selection activeCell="B2" sqref="B2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4" width="14.5703125" style="1" customWidth="1"/>
    <col min="5" max="5" width="14.5703125" style="1" customWidth="1" outlineLevel="1"/>
    <col min="6" max="6" width="13.8554687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12.7109375" style="1" customWidth="1"/>
    <col min="11" max="11" width="7.42578125" style="1" customWidth="1"/>
    <col min="12" max="13" width="8.140625" style="1" customWidth="1"/>
    <col min="14" max="16384" width="9.140625" style="1"/>
  </cols>
  <sheetData>
    <row r="1" spans="2:13" ht="15" x14ac:dyDescent="0.2">
      <c r="B1" s="91" t="str">
        <f>CONCATENATE("Informacja z wykonania budżetów gmin za ",$D$117," ",$C$118," rok     ",$C$120,"")</f>
        <v xml:space="preserve">Informacja z wykonania budżetów gmin za III Kwartały 2023 rok     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</row>
    <row r="2" spans="2:13" ht="0.75" customHeight="1" x14ac:dyDescent="0.2"/>
    <row r="3" spans="2:13" ht="69" customHeight="1" x14ac:dyDescent="0.2">
      <c r="B3" s="106" t="s">
        <v>0</v>
      </c>
      <c r="C3" s="15" t="s">
        <v>35</v>
      </c>
      <c r="D3" s="15" t="s">
        <v>36</v>
      </c>
      <c r="E3" s="15" t="s">
        <v>37</v>
      </c>
      <c r="F3" s="15" t="s">
        <v>38</v>
      </c>
      <c r="G3" s="15" t="s">
        <v>39</v>
      </c>
      <c r="H3" s="15" t="s">
        <v>40</v>
      </c>
      <c r="I3" s="15" t="s">
        <v>41</v>
      </c>
      <c r="J3" s="17" t="s">
        <v>2</v>
      </c>
      <c r="K3" s="15" t="s">
        <v>18</v>
      </c>
      <c r="L3" s="15" t="s">
        <v>3</v>
      </c>
    </row>
    <row r="4" spans="2:13" x14ac:dyDescent="0.2">
      <c r="B4" s="106"/>
      <c r="C4" s="113" t="s">
        <v>74</v>
      </c>
      <c r="D4" s="114"/>
      <c r="E4" s="114"/>
      <c r="F4" s="114"/>
      <c r="G4" s="114"/>
      <c r="H4" s="114"/>
      <c r="I4" s="115"/>
      <c r="J4" s="109" t="s">
        <v>4</v>
      </c>
      <c r="K4" s="109"/>
      <c r="L4" s="109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4" t="s">
        <v>5</v>
      </c>
      <c r="C6" s="45">
        <f>178362942183.91</f>
        <v>178362942183.91</v>
      </c>
      <c r="D6" s="45">
        <f>123484831445.14</f>
        <v>123484831445.14</v>
      </c>
      <c r="E6" s="45">
        <f>3119168918.27</f>
        <v>3119168918.27</v>
      </c>
      <c r="F6" s="45">
        <f>552665197.12</f>
        <v>552665197.12</v>
      </c>
      <c r="G6" s="45">
        <f>69805494.93</f>
        <v>69805494.930000007</v>
      </c>
      <c r="H6" s="45">
        <f>116248158.09</f>
        <v>116248158.09</v>
      </c>
      <c r="I6" s="45">
        <f>2153012.69</f>
        <v>2153012.69</v>
      </c>
      <c r="J6" s="46">
        <f t="shared" ref="J6:J55" si="0">IF($D$6=0,"",100*$D6/$D$6)</f>
        <v>100</v>
      </c>
      <c r="K6" s="46">
        <f t="shared" ref="K6:K51" si="1">IF(C6=0,"",100*D6/C6)</f>
        <v>69.232336007226664</v>
      </c>
      <c r="L6" s="46"/>
    </row>
    <row r="7" spans="2:13" ht="25.5" customHeight="1" x14ac:dyDescent="0.2">
      <c r="B7" s="85" t="s">
        <v>58</v>
      </c>
      <c r="C7" s="25">
        <f>C6-C22-C46</f>
        <v>80017408298.51001</v>
      </c>
      <c r="D7" s="25">
        <f>D6-D22-D46</f>
        <v>58212997296.540009</v>
      </c>
      <c r="E7" s="25">
        <f>E6</f>
        <v>3119168918.27</v>
      </c>
      <c r="F7" s="25">
        <f>F6</f>
        <v>552665197.12</v>
      </c>
      <c r="G7" s="25">
        <f>G6</f>
        <v>69805494.930000007</v>
      </c>
      <c r="H7" s="25">
        <f>H6</f>
        <v>116248158.09</v>
      </c>
      <c r="I7" s="25">
        <f>I6</f>
        <v>2153012.69</v>
      </c>
      <c r="J7" s="34">
        <f t="shared" si="0"/>
        <v>47.141820266728075</v>
      </c>
      <c r="K7" s="34">
        <f t="shared" si="1"/>
        <v>72.750415858725063</v>
      </c>
      <c r="L7" s="34">
        <f t="shared" ref="L7:L21" si="2">IF($D$7=0,"",100*$D7/$D$7)</f>
        <v>100</v>
      </c>
    </row>
    <row r="8" spans="2:13" ht="22.5" customHeight="1" outlineLevel="1" x14ac:dyDescent="0.2">
      <c r="B8" s="54" t="s">
        <v>34</v>
      </c>
      <c r="C8" s="24">
        <f>2277324476</f>
        <v>2277324476</v>
      </c>
      <c r="D8" s="24">
        <f>1707926962</f>
        <v>1707926962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1.3831066876896312</v>
      </c>
      <c r="K8" s="35">
        <f t="shared" si="1"/>
        <v>74.997084517349208</v>
      </c>
      <c r="L8" s="35">
        <f t="shared" si="2"/>
        <v>2.9339272006554342</v>
      </c>
    </row>
    <row r="9" spans="2:13" ht="22.5" customHeight="1" outlineLevel="1" x14ac:dyDescent="0.2">
      <c r="B9" s="54" t="s">
        <v>19</v>
      </c>
      <c r="C9" s="24">
        <f>21665153594.02</f>
        <v>21665153594.02</v>
      </c>
      <c r="D9" s="24">
        <f>16241661891</f>
        <v>16241661891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13.152758683738094</v>
      </c>
      <c r="K9" s="35">
        <f t="shared" si="1"/>
        <v>74.966751657292704</v>
      </c>
      <c r="L9" s="35">
        <f t="shared" si="2"/>
        <v>27.90040479837198</v>
      </c>
    </row>
    <row r="10" spans="2:13" ht="13.5" customHeight="1" outlineLevel="1" x14ac:dyDescent="0.2">
      <c r="B10" s="54" t="s">
        <v>20</v>
      </c>
      <c r="C10" s="24">
        <f>1983050550.28</f>
        <v>1983050550.28</v>
      </c>
      <c r="D10" s="24">
        <f>1548243318.08</f>
        <v>1548243318.0799999</v>
      </c>
      <c r="E10" s="24">
        <f>183192151.87</f>
        <v>183192151.87</v>
      </c>
      <c r="F10" s="24">
        <f>2051010.1</f>
        <v>2051010.1</v>
      </c>
      <c r="G10" s="24">
        <f>1373194.58</f>
        <v>1373194.58</v>
      </c>
      <c r="H10" s="24">
        <f>2077745.53</f>
        <v>2077745.53</v>
      </c>
      <c r="I10" s="24">
        <f>3616.38</f>
        <v>3616.38</v>
      </c>
      <c r="J10" s="35">
        <f t="shared" si="0"/>
        <v>1.2537923078980193</v>
      </c>
      <c r="K10" s="35">
        <f t="shared" si="1"/>
        <v>78.073820047673181</v>
      </c>
      <c r="L10" s="35">
        <f t="shared" si="2"/>
        <v>2.6596179375426567</v>
      </c>
    </row>
    <row r="11" spans="2:13" ht="13.5" customHeight="1" outlineLevel="1" x14ac:dyDescent="0.2">
      <c r="B11" s="54" t="s">
        <v>21</v>
      </c>
      <c r="C11" s="24">
        <f>19543723004.04</f>
        <v>19543723004.040001</v>
      </c>
      <c r="D11" s="53">
        <f>14863473705.13</f>
        <v>14863473705.129999</v>
      </c>
      <c r="E11" s="24">
        <f>2023782419.29</f>
        <v>2023782419.29</v>
      </c>
      <c r="F11" s="24">
        <f>548101522.78</f>
        <v>548101522.77999997</v>
      </c>
      <c r="G11" s="24">
        <f>51825206.98</f>
        <v>51825206.979999997</v>
      </c>
      <c r="H11" s="24">
        <f>91755287.51</f>
        <v>91755287.510000005</v>
      </c>
      <c r="I11" s="24">
        <f>823353.24</f>
        <v>823353.24</v>
      </c>
      <c r="J11" s="35">
        <f t="shared" si="0"/>
        <v>12.036679753442691</v>
      </c>
      <c r="K11" s="35">
        <f t="shared" si="1"/>
        <v>76.052416942552256</v>
      </c>
      <c r="L11" s="35">
        <f t="shared" si="2"/>
        <v>25.532912571765888</v>
      </c>
    </row>
    <row r="12" spans="2:13" ht="13.5" customHeight="1" outlineLevel="1" x14ac:dyDescent="0.2">
      <c r="B12" s="54" t="s">
        <v>22</v>
      </c>
      <c r="C12" s="24">
        <f>459063163.22</f>
        <v>459063163.22000003</v>
      </c>
      <c r="D12" s="53">
        <f>381734525.95</f>
        <v>381734525.94999999</v>
      </c>
      <c r="E12" s="24">
        <f>5041789.5</f>
        <v>5041789.5</v>
      </c>
      <c r="F12" s="24">
        <f>734635.31</f>
        <v>734635.31</v>
      </c>
      <c r="G12" s="24">
        <f>62671.94</f>
        <v>62671.94</v>
      </c>
      <c r="H12" s="24">
        <f>80166.4</f>
        <v>80166.399999999994</v>
      </c>
      <c r="I12" s="24">
        <f>0</f>
        <v>0</v>
      </c>
      <c r="J12" s="35">
        <f t="shared" si="0"/>
        <v>0.30913475078887831</v>
      </c>
      <c r="K12" s="35">
        <f t="shared" si="1"/>
        <v>83.155120370017301</v>
      </c>
      <c r="L12" s="35">
        <f t="shared" si="2"/>
        <v>0.65575480335675662</v>
      </c>
    </row>
    <row r="13" spans="2:13" ht="13.5" customHeight="1" outlineLevel="1" x14ac:dyDescent="0.2">
      <c r="B13" s="54" t="s">
        <v>23</v>
      </c>
      <c r="C13" s="24">
        <f>1046381244.54</f>
        <v>1046381244.54</v>
      </c>
      <c r="D13" s="53">
        <f>916291072.41</f>
        <v>916291072.40999997</v>
      </c>
      <c r="E13" s="24">
        <f>889710550.48</f>
        <v>889710550.48000002</v>
      </c>
      <c r="F13" s="24">
        <f>1759962.93</f>
        <v>1759962.93</v>
      </c>
      <c r="G13" s="24">
        <f>1603842.75</f>
        <v>1603842.75</v>
      </c>
      <c r="H13" s="24">
        <f>3728511.08</f>
        <v>3728511.08</v>
      </c>
      <c r="I13" s="24">
        <f>112830.19</f>
        <v>112830.19</v>
      </c>
      <c r="J13" s="35">
        <f t="shared" si="0"/>
        <v>0.74202722851597858</v>
      </c>
      <c r="K13" s="35">
        <f t="shared" si="1"/>
        <v>87.567612396647178</v>
      </c>
      <c r="L13" s="35">
        <f t="shared" si="2"/>
        <v>1.5740317711908323</v>
      </c>
    </row>
    <row r="14" spans="2:13" ht="33.950000000000003" customHeight="1" outlineLevel="1" x14ac:dyDescent="0.2">
      <c r="B14" s="54" t="s">
        <v>43</v>
      </c>
      <c r="C14" s="24">
        <f>89105561.68</f>
        <v>89105561.680000007</v>
      </c>
      <c r="D14" s="53">
        <f>67298971.97</f>
        <v>67298971.969999999</v>
      </c>
      <c r="E14" s="24">
        <f>0</f>
        <v>0</v>
      </c>
      <c r="F14" s="24">
        <f>0</f>
        <v>0</v>
      </c>
      <c r="G14" s="24">
        <f>34409.29</f>
        <v>34409.29</v>
      </c>
      <c r="H14" s="24">
        <f>88251.51</f>
        <v>88251.51</v>
      </c>
      <c r="I14" s="24">
        <f>0</f>
        <v>0</v>
      </c>
      <c r="J14" s="35">
        <f t="shared" si="0"/>
        <v>5.4499788502281418E-2</v>
      </c>
      <c r="K14" s="35">
        <f t="shared" si="1"/>
        <v>75.527240613427878</v>
      </c>
      <c r="L14" s="35">
        <f t="shared" si="2"/>
        <v>0.11560815469984403</v>
      </c>
    </row>
    <row r="15" spans="2:13" ht="13.5" customHeight="1" outlineLevel="1" x14ac:dyDescent="0.2">
      <c r="B15" s="54" t="s">
        <v>28</v>
      </c>
      <c r="C15" s="24">
        <f>215028379.82</f>
        <v>215028379.81999999</v>
      </c>
      <c r="D15" s="53">
        <f>189823979.61</f>
        <v>189823979.61000001</v>
      </c>
      <c r="E15" s="24">
        <f>0</f>
        <v>0</v>
      </c>
      <c r="F15" s="24">
        <f>0</f>
        <v>0</v>
      </c>
      <c r="G15" s="24">
        <f>3694946.61</f>
        <v>3694946.61</v>
      </c>
      <c r="H15" s="24">
        <f>8543412.15</f>
        <v>8543412.1500000004</v>
      </c>
      <c r="I15" s="24">
        <f>0</f>
        <v>0</v>
      </c>
      <c r="J15" s="35">
        <f t="shared" si="0"/>
        <v>0.15372250776754889</v>
      </c>
      <c r="K15" s="35">
        <f t="shared" si="1"/>
        <v>88.278570377036473</v>
      </c>
      <c r="L15" s="35">
        <f t="shared" si="2"/>
        <v>0.3260852188095158</v>
      </c>
    </row>
    <row r="16" spans="2:13" ht="22.5" customHeight="1" outlineLevel="1" x14ac:dyDescent="0.2">
      <c r="B16" s="54" t="s">
        <v>29</v>
      </c>
      <c r="C16" s="24">
        <f>1779822160.82</f>
        <v>1779822160.8199999</v>
      </c>
      <c r="D16" s="53">
        <f>1276901014.88</f>
        <v>1276901014.8800001</v>
      </c>
      <c r="E16" s="24">
        <f>0</f>
        <v>0</v>
      </c>
      <c r="F16" s="24">
        <f>0</f>
        <v>0</v>
      </c>
      <c r="G16" s="24">
        <f>54383.58</f>
        <v>54383.58</v>
      </c>
      <c r="H16" s="24">
        <f>352933.03</f>
        <v>352933.03</v>
      </c>
      <c r="I16" s="24">
        <f>0</f>
        <v>0</v>
      </c>
      <c r="J16" s="35">
        <f t="shared" si="0"/>
        <v>1.0340549522856033</v>
      </c>
      <c r="K16" s="35">
        <f t="shared" si="1"/>
        <v>71.743179908025539</v>
      </c>
      <c r="L16" s="35">
        <f t="shared" si="2"/>
        <v>2.1934981433362735</v>
      </c>
    </row>
    <row r="17" spans="2:12" ht="13.5" customHeight="1" outlineLevel="1" x14ac:dyDescent="0.2">
      <c r="B17" s="54" t="s">
        <v>30</v>
      </c>
      <c r="C17" s="24">
        <f>201563653.01</f>
        <v>201563653.00999999</v>
      </c>
      <c r="D17" s="53">
        <f>145164701.35</f>
        <v>145164701.34999999</v>
      </c>
      <c r="E17" s="24">
        <f>0</f>
        <v>0</v>
      </c>
      <c r="F17" s="24">
        <f>0</f>
        <v>0</v>
      </c>
      <c r="G17" s="24">
        <f>1632</f>
        <v>1632</v>
      </c>
      <c r="H17" s="24">
        <f>326</f>
        <v>326</v>
      </c>
      <c r="I17" s="24">
        <f>0</f>
        <v>0</v>
      </c>
      <c r="J17" s="35">
        <f t="shared" si="0"/>
        <v>0.11755670688548626</v>
      </c>
      <c r="K17" s="35">
        <f t="shared" si="1"/>
        <v>72.01928481758469</v>
      </c>
      <c r="L17" s="35">
        <f t="shared" si="2"/>
        <v>0.24936819626469933</v>
      </c>
    </row>
    <row r="18" spans="2:12" ht="13.5" customHeight="1" outlineLevel="1" x14ac:dyDescent="0.2">
      <c r="B18" s="54" t="s">
        <v>31</v>
      </c>
      <c r="C18" s="24">
        <f>446131229.5</f>
        <v>446131229.5</v>
      </c>
      <c r="D18" s="53">
        <f>394598131.21</f>
        <v>394598131.20999998</v>
      </c>
      <c r="E18" s="24">
        <f>0</f>
        <v>0</v>
      </c>
      <c r="F18" s="24">
        <f>0</f>
        <v>0</v>
      </c>
      <c r="G18" s="24">
        <f>0</f>
        <v>0</v>
      </c>
      <c r="H18" s="24">
        <f>267825.24</f>
        <v>267825.24</v>
      </c>
      <c r="I18" s="24">
        <f>0</f>
        <v>0</v>
      </c>
      <c r="J18" s="35">
        <f t="shared" si="0"/>
        <v>0.3195519049522339</v>
      </c>
      <c r="K18" s="35">
        <f t="shared" si="1"/>
        <v>88.448892414961506</v>
      </c>
      <c r="L18" s="35">
        <f t="shared" si="2"/>
        <v>0.67785228305613054</v>
      </c>
    </row>
    <row r="19" spans="2:12" ht="13.5" customHeight="1" outlineLevel="1" x14ac:dyDescent="0.2">
      <c r="B19" s="54" t="s">
        <v>32</v>
      </c>
      <c r="C19" s="24">
        <f>112358078.12</f>
        <v>112358078.12</v>
      </c>
      <c r="D19" s="53">
        <f>82889177.02</f>
        <v>82889177.019999996</v>
      </c>
      <c r="E19" s="24">
        <f>1054588.99</f>
        <v>1054588.99</v>
      </c>
      <c r="F19" s="24">
        <f>0</f>
        <v>0</v>
      </c>
      <c r="G19" s="24">
        <f>517</f>
        <v>517</v>
      </c>
      <c r="H19" s="24">
        <f>85531.38</f>
        <v>85531.38</v>
      </c>
      <c r="I19" s="24">
        <f>0</f>
        <v>0</v>
      </c>
      <c r="J19" s="35">
        <f t="shared" si="0"/>
        <v>6.7124986972043416E-2</v>
      </c>
      <c r="K19" s="35">
        <f t="shared" si="1"/>
        <v>73.7723343144702</v>
      </c>
      <c r="L19" s="35">
        <f t="shared" si="2"/>
        <v>0.14238946776397418</v>
      </c>
    </row>
    <row r="20" spans="2:12" ht="13.5" customHeight="1" outlineLevel="1" x14ac:dyDescent="0.2">
      <c r="B20" s="54" t="s">
        <v>24</v>
      </c>
      <c r="C20" s="24">
        <f>5357336758.21</f>
        <v>5357336758.21</v>
      </c>
      <c r="D20" s="53">
        <f>2837307386.69</f>
        <v>2837307386.6900001</v>
      </c>
      <c r="E20" s="24">
        <f>0</f>
        <v>0</v>
      </c>
      <c r="F20" s="24">
        <f>0</f>
        <v>0</v>
      </c>
      <c r="G20" s="24">
        <f>14258.33</f>
        <v>14258.33</v>
      </c>
      <c r="H20" s="24">
        <f>20488.84</f>
        <v>20488.84</v>
      </c>
      <c r="I20" s="24">
        <f>622350</f>
        <v>622350</v>
      </c>
      <c r="J20" s="35">
        <f t="shared" si="0"/>
        <v>2.2976970964652583</v>
      </c>
      <c r="K20" s="35">
        <f t="shared" si="1"/>
        <v>52.961154296337433</v>
      </c>
      <c r="L20" s="35">
        <f t="shared" si="2"/>
        <v>4.874010132542411</v>
      </c>
    </row>
    <row r="21" spans="2:12" ht="13.5" customHeight="1" outlineLevel="1" x14ac:dyDescent="0.2">
      <c r="B21" s="54" t="s">
        <v>25</v>
      </c>
      <c r="C21" s="24">
        <f>C7-C8-C9-C10-C11-C12-C13-C14-C15-C16-C17-C18-C19-C20</f>
        <v>24841366445.250008</v>
      </c>
      <c r="D21" s="24">
        <f t="shared" ref="D21:I21" si="3">D7-D8-D9-D10-D11-D12-D13-D14-D15-D16-D17-D18-D19-D20</f>
        <v>17559682459.240009</v>
      </c>
      <c r="E21" s="24">
        <f t="shared" si="3"/>
        <v>16387418.140000114</v>
      </c>
      <c r="F21" s="24">
        <f t="shared" si="3"/>
        <v>18066.000000009546</v>
      </c>
      <c r="G21" s="24">
        <f t="shared" si="3"/>
        <v>11140431.870000014</v>
      </c>
      <c r="H21" s="24">
        <f t="shared" si="3"/>
        <v>9247679.4199999981</v>
      </c>
      <c r="I21" s="24">
        <f t="shared" si="3"/>
        <v>590862.88000000012</v>
      </c>
      <c r="J21" s="35">
        <f t="shared" si="0"/>
        <v>14.220112910824326</v>
      </c>
      <c r="K21" s="35">
        <f t="shared" si="1"/>
        <v>70.687264720084059</v>
      </c>
      <c r="L21" s="35">
        <f t="shared" si="2"/>
        <v>30.164539320643605</v>
      </c>
    </row>
    <row r="22" spans="2:12" ht="27" customHeight="1" x14ac:dyDescent="0.2">
      <c r="B22" s="85" t="s">
        <v>98</v>
      </c>
      <c r="C22" s="45">
        <f>C23+C42+C44</f>
        <v>53200949542.150002</v>
      </c>
      <c r="D22" s="45">
        <f>D23+D42+D44</f>
        <v>28492155241.869995</v>
      </c>
      <c r="E22" s="41" t="s">
        <v>57</v>
      </c>
      <c r="F22" s="41" t="s">
        <v>57</v>
      </c>
      <c r="G22" s="41" t="s">
        <v>57</v>
      </c>
      <c r="H22" s="41" t="s">
        <v>57</v>
      </c>
      <c r="I22" s="41" t="s">
        <v>57</v>
      </c>
      <c r="J22" s="46">
        <f t="shared" si="0"/>
        <v>23.073404974867756</v>
      </c>
      <c r="K22" s="46">
        <f t="shared" si="1"/>
        <v>53.555726894115402</v>
      </c>
      <c r="L22" s="29"/>
    </row>
    <row r="23" spans="2:12" ht="27" customHeight="1" outlineLevel="1" x14ac:dyDescent="0.2">
      <c r="B23" s="93" t="s">
        <v>59</v>
      </c>
      <c r="C23" s="45">
        <f>C24+C26+C28+C30+C32+C34+C36+C38+C40</f>
        <v>46153720633.5</v>
      </c>
      <c r="D23" s="45">
        <f>D24+D26+D28+D30+D32+D34+D36+D38+D40</f>
        <v>25523051324.089996</v>
      </c>
      <c r="E23" s="41" t="s">
        <v>57</v>
      </c>
      <c r="F23" s="41" t="s">
        <v>57</v>
      </c>
      <c r="G23" s="41" t="s">
        <v>57</v>
      </c>
      <c r="H23" s="41" t="s">
        <v>57</v>
      </c>
      <c r="I23" s="41" t="s">
        <v>57</v>
      </c>
      <c r="J23" s="46">
        <f t="shared" si="0"/>
        <v>20.668976930522025</v>
      </c>
      <c r="K23" s="46">
        <f t="shared" si="1"/>
        <v>55.300094930081244</v>
      </c>
      <c r="L23" s="29"/>
    </row>
    <row r="24" spans="2:12" ht="22.5" customHeight="1" outlineLevel="1" x14ac:dyDescent="0.2">
      <c r="B24" s="83" t="s">
        <v>9</v>
      </c>
      <c r="C24" s="24">
        <f>13385274532.88</f>
        <v>13385274532.879999</v>
      </c>
      <c r="D24" s="24">
        <f>10987038925.82</f>
        <v>10987038925.82</v>
      </c>
      <c r="E24" s="24" t="s">
        <v>57</v>
      </c>
      <c r="F24" s="24" t="s">
        <v>57</v>
      </c>
      <c r="G24" s="24" t="s">
        <v>57</v>
      </c>
      <c r="H24" s="24" t="s">
        <v>57</v>
      </c>
      <c r="I24" s="24" t="s">
        <v>57</v>
      </c>
      <c r="J24" s="35">
        <f t="shared" si="0"/>
        <v>8.8974806032764899</v>
      </c>
      <c r="K24" s="35">
        <f t="shared" si="1"/>
        <v>82.083030115154529</v>
      </c>
      <c r="L24" s="29"/>
    </row>
    <row r="25" spans="2:12" ht="13.5" customHeight="1" outlineLevel="1" x14ac:dyDescent="0.2">
      <c r="B25" s="94" t="s">
        <v>6</v>
      </c>
      <c r="C25" s="24">
        <f>15077018.13</f>
        <v>15077018.130000001</v>
      </c>
      <c r="D25" s="24">
        <f>6269837</f>
        <v>6269837</v>
      </c>
      <c r="E25" s="24" t="s">
        <v>57</v>
      </c>
      <c r="F25" s="24" t="s">
        <v>57</v>
      </c>
      <c r="G25" s="24" t="s">
        <v>57</v>
      </c>
      <c r="H25" s="24" t="s">
        <v>57</v>
      </c>
      <c r="I25" s="24" t="s">
        <v>57</v>
      </c>
      <c r="J25" s="35">
        <f t="shared" si="0"/>
        <v>5.0774147129038025E-3</v>
      </c>
      <c r="K25" s="35">
        <f t="shared" si="1"/>
        <v>41.585391394631159</v>
      </c>
      <c r="L25" s="29"/>
    </row>
    <row r="26" spans="2:12" ht="13.5" customHeight="1" outlineLevel="1" x14ac:dyDescent="0.2">
      <c r="B26" s="83" t="s">
        <v>7</v>
      </c>
      <c r="C26" s="24">
        <f>4015336177.16</f>
        <v>4015336177.1599998</v>
      </c>
      <c r="D26" s="24">
        <f>2806498701.81</f>
        <v>2806498701.8099999</v>
      </c>
      <c r="E26" s="24" t="s">
        <v>57</v>
      </c>
      <c r="F26" s="24" t="s">
        <v>57</v>
      </c>
      <c r="G26" s="24" t="s">
        <v>57</v>
      </c>
      <c r="H26" s="24" t="s">
        <v>57</v>
      </c>
      <c r="I26" s="24" t="s">
        <v>57</v>
      </c>
      <c r="J26" s="35">
        <f t="shared" si="0"/>
        <v>2.2727477285797888</v>
      </c>
      <c r="K26" s="35">
        <f t="shared" si="1"/>
        <v>69.894488978878073</v>
      </c>
      <c r="L26" s="29"/>
    </row>
    <row r="27" spans="2:12" ht="13.5" customHeight="1" outlineLevel="1" x14ac:dyDescent="0.2">
      <c r="B27" s="94" t="s">
        <v>6</v>
      </c>
      <c r="C27" s="24">
        <f>548654871.6</f>
        <v>548654871.60000002</v>
      </c>
      <c r="D27" s="24">
        <f>228650162.44</f>
        <v>228650162.44</v>
      </c>
      <c r="E27" s="24" t="s">
        <v>57</v>
      </c>
      <c r="F27" s="24" t="s">
        <v>57</v>
      </c>
      <c r="G27" s="24" t="s">
        <v>57</v>
      </c>
      <c r="H27" s="24" t="s">
        <v>57</v>
      </c>
      <c r="I27" s="24" t="s">
        <v>57</v>
      </c>
      <c r="J27" s="35">
        <f t="shared" si="0"/>
        <v>0.18516457427532812</v>
      </c>
      <c r="K27" s="35">
        <f t="shared" si="1"/>
        <v>41.674680072229215</v>
      </c>
      <c r="L27" s="29"/>
    </row>
    <row r="28" spans="2:12" ht="35.1" customHeight="1" outlineLevel="1" x14ac:dyDescent="0.2">
      <c r="B28" s="83" t="s">
        <v>10</v>
      </c>
      <c r="C28" s="24">
        <f>90099883.36</f>
        <v>90099883.359999999</v>
      </c>
      <c r="D28" s="24">
        <f>63978260.33</f>
        <v>63978260.329999998</v>
      </c>
      <c r="E28" s="24" t="s">
        <v>57</v>
      </c>
      <c r="F28" s="24" t="s">
        <v>57</v>
      </c>
      <c r="G28" s="24" t="s">
        <v>57</v>
      </c>
      <c r="H28" s="24" t="s">
        <v>57</v>
      </c>
      <c r="I28" s="24" t="s">
        <v>57</v>
      </c>
      <c r="J28" s="35">
        <f t="shared" si="0"/>
        <v>5.181062287672418E-2</v>
      </c>
      <c r="K28" s="35">
        <f t="shared" si="1"/>
        <v>71.008150004335363</v>
      </c>
      <c r="L28" s="29"/>
    </row>
    <row r="29" spans="2:12" ht="13.5" customHeight="1" outlineLevel="1" x14ac:dyDescent="0.2">
      <c r="B29" s="94" t="s">
        <v>6</v>
      </c>
      <c r="C29" s="24">
        <f>29927494.13</f>
        <v>29927494.129999999</v>
      </c>
      <c r="D29" s="24">
        <f>14001823.97</f>
        <v>14001823.970000001</v>
      </c>
      <c r="E29" s="24" t="s">
        <v>57</v>
      </c>
      <c r="F29" s="24" t="s">
        <v>57</v>
      </c>
      <c r="G29" s="24" t="s">
        <v>57</v>
      </c>
      <c r="H29" s="24" t="s">
        <v>57</v>
      </c>
      <c r="I29" s="24" t="s">
        <v>57</v>
      </c>
      <c r="J29" s="35">
        <f t="shared" si="0"/>
        <v>1.1338901957541661E-2</v>
      </c>
      <c r="K29" s="35">
        <f t="shared" si="1"/>
        <v>46.785821456278406</v>
      </c>
      <c r="L29" s="29"/>
    </row>
    <row r="30" spans="2:12" ht="24" customHeight="1" outlineLevel="1" x14ac:dyDescent="0.2">
      <c r="B30" s="83" t="s">
        <v>11</v>
      </c>
      <c r="C30" s="24">
        <f>809621763.39</f>
        <v>809621763.38999999</v>
      </c>
      <c r="D30" s="24">
        <f>422684729.96</f>
        <v>422684729.95999998</v>
      </c>
      <c r="E30" s="24" t="s">
        <v>57</v>
      </c>
      <c r="F30" s="24" t="s">
        <v>57</v>
      </c>
      <c r="G30" s="24" t="s">
        <v>57</v>
      </c>
      <c r="H30" s="24" t="s">
        <v>57</v>
      </c>
      <c r="I30" s="24" t="s">
        <v>57</v>
      </c>
      <c r="J30" s="35">
        <f t="shared" si="0"/>
        <v>0.34229688376566647</v>
      </c>
      <c r="K30" s="35">
        <f t="shared" si="1"/>
        <v>52.207678828958315</v>
      </c>
      <c r="L30" s="29"/>
    </row>
    <row r="31" spans="2:12" ht="13.5" customHeight="1" outlineLevel="1" x14ac:dyDescent="0.2">
      <c r="B31" s="94" t="s">
        <v>6</v>
      </c>
      <c r="C31" s="24">
        <f>349663371.32</f>
        <v>349663371.31999999</v>
      </c>
      <c r="D31" s="24">
        <f>95118335.82</f>
        <v>95118335.819999993</v>
      </c>
      <c r="E31" s="24" t="s">
        <v>57</v>
      </c>
      <c r="F31" s="24" t="s">
        <v>57</v>
      </c>
      <c r="G31" s="24" t="s">
        <v>57</v>
      </c>
      <c r="H31" s="24" t="s">
        <v>57</v>
      </c>
      <c r="I31" s="24" t="s">
        <v>57</v>
      </c>
      <c r="J31" s="35">
        <f t="shared" si="0"/>
        <v>7.7028356201188766E-2</v>
      </c>
      <c r="K31" s="35">
        <f t="shared" si="1"/>
        <v>27.202830957364117</v>
      </c>
      <c r="L31" s="29"/>
    </row>
    <row r="32" spans="2:12" ht="35.1" customHeight="1" outlineLevel="1" x14ac:dyDescent="0.2">
      <c r="B32" s="83" t="s">
        <v>75</v>
      </c>
      <c r="C32" s="24">
        <f>994339884.53</f>
        <v>994339884.52999997</v>
      </c>
      <c r="D32" s="24">
        <f>487815004.22</f>
        <v>487815004.22000003</v>
      </c>
      <c r="E32" s="24" t="s">
        <v>57</v>
      </c>
      <c r="F32" s="24" t="s">
        <v>57</v>
      </c>
      <c r="G32" s="24" t="s">
        <v>57</v>
      </c>
      <c r="H32" s="24" t="s">
        <v>57</v>
      </c>
      <c r="I32" s="24" t="s">
        <v>57</v>
      </c>
      <c r="J32" s="35">
        <f t="shared" si="0"/>
        <v>0.39504042602732076</v>
      </c>
      <c r="K32" s="35">
        <f t="shared" si="1"/>
        <v>49.059181051615781</v>
      </c>
      <c r="L32" s="29"/>
    </row>
    <row r="33" spans="2:12" ht="13.5" customHeight="1" outlineLevel="1" x14ac:dyDescent="0.2">
      <c r="B33" s="94" t="s">
        <v>6</v>
      </c>
      <c r="C33" s="24">
        <f>878658365.11</f>
        <v>878658365.11000001</v>
      </c>
      <c r="D33" s="24">
        <f>420585378.42</f>
        <v>420585378.42000002</v>
      </c>
      <c r="E33" s="24" t="s">
        <v>57</v>
      </c>
      <c r="F33" s="24" t="s">
        <v>57</v>
      </c>
      <c r="G33" s="24" t="s">
        <v>57</v>
      </c>
      <c r="H33" s="24" t="s">
        <v>57</v>
      </c>
      <c r="I33" s="24" t="s">
        <v>57</v>
      </c>
      <c r="J33" s="35">
        <f t="shared" si="0"/>
        <v>0.34059679516738978</v>
      </c>
      <c r="K33" s="35">
        <f t="shared" si="1"/>
        <v>47.866769966657806</v>
      </c>
      <c r="L33" s="29"/>
    </row>
    <row r="34" spans="2:12" ht="13.5" customHeight="1" outlineLevel="1" x14ac:dyDescent="0.2">
      <c r="B34" s="83" t="s">
        <v>8</v>
      </c>
      <c r="C34" s="24">
        <f>511062226.57</f>
        <v>511062226.56999999</v>
      </c>
      <c r="D34" s="24">
        <f>192875194.6</f>
        <v>192875194.59999999</v>
      </c>
      <c r="E34" s="24" t="s">
        <v>57</v>
      </c>
      <c r="F34" s="24" t="s">
        <v>57</v>
      </c>
      <c r="G34" s="24" t="s">
        <v>57</v>
      </c>
      <c r="H34" s="24" t="s">
        <v>57</v>
      </c>
      <c r="I34" s="24" t="s">
        <v>57</v>
      </c>
      <c r="J34" s="35">
        <f t="shared" si="0"/>
        <v>0.1561934306771012</v>
      </c>
      <c r="K34" s="35">
        <f t="shared" si="1"/>
        <v>37.740060715205679</v>
      </c>
      <c r="L34" s="29"/>
    </row>
    <row r="35" spans="2:12" ht="13.5" customHeight="1" outlineLevel="1" x14ac:dyDescent="0.2">
      <c r="B35" s="95" t="s">
        <v>6</v>
      </c>
      <c r="C35" s="22">
        <f>437126346.38</f>
        <v>437126346.38</v>
      </c>
      <c r="D35" s="22">
        <f>153334226.17</f>
        <v>153334226.16999999</v>
      </c>
      <c r="E35" s="24" t="s">
        <v>57</v>
      </c>
      <c r="F35" s="24" t="s">
        <v>57</v>
      </c>
      <c r="G35" s="24" t="s">
        <v>57</v>
      </c>
      <c r="H35" s="24" t="s">
        <v>57</v>
      </c>
      <c r="I35" s="24" t="s">
        <v>57</v>
      </c>
      <c r="J35" s="35">
        <f t="shared" si="0"/>
        <v>0.12417251930907888</v>
      </c>
      <c r="K35" s="35">
        <f t="shared" si="1"/>
        <v>35.077781844955283</v>
      </c>
      <c r="L35" s="29"/>
    </row>
    <row r="36" spans="2:12" ht="71.099999999999994" customHeight="1" outlineLevel="1" x14ac:dyDescent="0.2">
      <c r="B36" s="83" t="s">
        <v>92</v>
      </c>
      <c r="C36" s="22">
        <f>20509167.43</f>
        <v>20509167.43</v>
      </c>
      <c r="D36" s="22">
        <f>3084188.3</f>
        <v>3084188.3</v>
      </c>
      <c r="E36" s="24" t="s">
        <v>57</v>
      </c>
      <c r="F36" s="24" t="s">
        <v>57</v>
      </c>
      <c r="G36" s="24" t="s">
        <v>57</v>
      </c>
      <c r="H36" s="24" t="s">
        <v>57</v>
      </c>
      <c r="I36" s="24" t="s">
        <v>57</v>
      </c>
      <c r="J36" s="35">
        <f t="shared" si="0"/>
        <v>2.4976252256295925E-3</v>
      </c>
      <c r="K36" s="35">
        <f>IF(C36=0,"",100*D36/C36)</f>
        <v>15.038096063756207</v>
      </c>
      <c r="L36" s="29"/>
    </row>
    <row r="37" spans="2:12" ht="13.5" customHeight="1" outlineLevel="1" x14ac:dyDescent="0.2">
      <c r="B37" s="95" t="s">
        <v>93</v>
      </c>
      <c r="C37" s="22">
        <f>17710888.07</f>
        <v>17710888.07</v>
      </c>
      <c r="D37" s="22">
        <f>1917265.53</f>
        <v>1917265.53</v>
      </c>
      <c r="E37" s="24" t="s">
        <v>57</v>
      </c>
      <c r="F37" s="24" t="s">
        <v>57</v>
      </c>
      <c r="G37" s="24" t="s">
        <v>57</v>
      </c>
      <c r="H37" s="24" t="s">
        <v>57</v>
      </c>
      <c r="I37" s="24" t="s">
        <v>57</v>
      </c>
      <c r="J37" s="35">
        <f t="shared" si="0"/>
        <v>1.5526324225917367E-3</v>
      </c>
      <c r="K37" s="35">
        <f>IF(C37=0,"",100*D37/C37)</f>
        <v>10.825349482319888</v>
      </c>
      <c r="L37" s="29"/>
    </row>
    <row r="38" spans="2:12" ht="48" customHeight="1" outlineLevel="1" x14ac:dyDescent="0.2">
      <c r="B38" s="96" t="s">
        <v>90</v>
      </c>
      <c r="C38" s="22">
        <f>24706083802.72</f>
        <v>24706083802.720001</v>
      </c>
      <c r="D38" s="22">
        <f>9008911164.62</f>
        <v>9008911164.6200008</v>
      </c>
      <c r="E38" s="24" t="s">
        <v>57</v>
      </c>
      <c r="F38" s="24" t="s">
        <v>57</v>
      </c>
      <c r="G38" s="24" t="s">
        <v>57</v>
      </c>
      <c r="H38" s="24" t="s">
        <v>57</v>
      </c>
      <c r="I38" s="24" t="s">
        <v>57</v>
      </c>
      <c r="J38" s="35">
        <f t="shared" si="0"/>
        <v>7.2955609682492426</v>
      </c>
      <c r="K38" s="35">
        <f t="shared" si="1"/>
        <v>36.464343100901203</v>
      </c>
      <c r="L38" s="29"/>
    </row>
    <row r="39" spans="2:12" ht="13.5" customHeight="1" outlineLevel="1" x14ac:dyDescent="0.2">
      <c r="B39" s="95" t="s">
        <v>6</v>
      </c>
      <c r="C39" s="22">
        <f>23981491461.34</f>
        <v>23981491461.34</v>
      </c>
      <c r="D39" s="22">
        <f>8508872852.63</f>
        <v>8508872852.6300001</v>
      </c>
      <c r="E39" s="24" t="s">
        <v>57</v>
      </c>
      <c r="F39" s="24" t="s">
        <v>57</v>
      </c>
      <c r="G39" s="24" t="s">
        <v>57</v>
      </c>
      <c r="H39" s="24" t="s">
        <v>57</v>
      </c>
      <c r="I39" s="24" t="s">
        <v>57</v>
      </c>
      <c r="J39" s="35">
        <f t="shared" si="0"/>
        <v>6.8906219112508529</v>
      </c>
      <c r="K39" s="35">
        <f t="shared" si="1"/>
        <v>35.480999446372863</v>
      </c>
      <c r="L39" s="29"/>
    </row>
    <row r="40" spans="2:12" ht="22.5" outlineLevel="1" x14ac:dyDescent="0.2">
      <c r="B40" s="96" t="s">
        <v>104</v>
      </c>
      <c r="C40" s="22">
        <f>1621393195.46</f>
        <v>1621393195.46</v>
      </c>
      <c r="D40" s="22">
        <f>1550165154.43</f>
        <v>1550165154.4300001</v>
      </c>
      <c r="E40" s="24" t="s">
        <v>57</v>
      </c>
      <c r="F40" s="24" t="s">
        <v>57</v>
      </c>
      <c r="G40" s="24" t="s">
        <v>57</v>
      </c>
      <c r="H40" s="24" t="s">
        <v>57</v>
      </c>
      <c r="I40" s="24" t="s">
        <v>57</v>
      </c>
      <c r="J40" s="35">
        <f t="shared" si="0"/>
        <v>1.2553486418440667</v>
      </c>
      <c r="K40" s="35">
        <f t="shared" si="1"/>
        <v>95.606985324137113</v>
      </c>
      <c r="L40" s="29"/>
    </row>
    <row r="41" spans="2:12" ht="13.5" customHeight="1" outlineLevel="1" x14ac:dyDescent="0.2">
      <c r="B41" s="95" t="s">
        <v>6</v>
      </c>
      <c r="C41" s="22">
        <f>4597595.81</f>
        <v>4597595.8099999996</v>
      </c>
      <c r="D41" s="22">
        <f>151468.31</f>
        <v>151468.31</v>
      </c>
      <c r="E41" s="24" t="s">
        <v>57</v>
      </c>
      <c r="F41" s="24" t="s">
        <v>57</v>
      </c>
      <c r="G41" s="24" t="s">
        <v>57</v>
      </c>
      <c r="H41" s="24" t="s">
        <v>57</v>
      </c>
      <c r="I41" s="24" t="s">
        <v>57</v>
      </c>
      <c r="J41" s="35">
        <f t="shared" si="0"/>
        <v>1.2266147042302284E-4</v>
      </c>
      <c r="K41" s="35">
        <f t="shared" si="1"/>
        <v>3.2945112241173722</v>
      </c>
      <c r="L41" s="29"/>
    </row>
    <row r="42" spans="2:12" outlineLevel="1" x14ac:dyDescent="0.2">
      <c r="B42" s="93" t="s">
        <v>86</v>
      </c>
      <c r="C42" s="45">
        <f>1008712606.32</f>
        <v>1008712606.3200001</v>
      </c>
      <c r="D42" s="45">
        <f>403170063.78</f>
        <v>403170063.77999997</v>
      </c>
      <c r="E42" s="41" t="s">
        <v>57</v>
      </c>
      <c r="F42" s="41" t="s">
        <v>57</v>
      </c>
      <c r="G42" s="41" t="s">
        <v>57</v>
      </c>
      <c r="H42" s="41" t="s">
        <v>57</v>
      </c>
      <c r="I42" s="41" t="s">
        <v>57</v>
      </c>
      <c r="J42" s="46">
        <f t="shared" si="0"/>
        <v>0.32649359363551822</v>
      </c>
      <c r="K42" s="46">
        <f t="shared" si="1"/>
        <v>39.968774183446648</v>
      </c>
      <c r="L42" s="29"/>
    </row>
    <row r="43" spans="2:12" ht="13.5" customHeight="1" outlineLevel="1" x14ac:dyDescent="0.2">
      <c r="B43" s="95" t="s">
        <v>87</v>
      </c>
      <c r="C43" s="22">
        <f>840458859.16</f>
        <v>840458859.15999997</v>
      </c>
      <c r="D43" s="22">
        <f>316638414.57</f>
        <v>316638414.56999999</v>
      </c>
      <c r="E43" s="24" t="s">
        <v>57</v>
      </c>
      <c r="F43" s="24" t="s">
        <v>57</v>
      </c>
      <c r="G43" s="24" t="s">
        <v>57</v>
      </c>
      <c r="H43" s="24" t="s">
        <v>57</v>
      </c>
      <c r="I43" s="24" t="s">
        <v>57</v>
      </c>
      <c r="J43" s="35">
        <f t="shared" si="0"/>
        <v>0.25641887417619497</v>
      </c>
      <c r="K43" s="35">
        <f t="shared" si="1"/>
        <v>37.674469263904903</v>
      </c>
      <c r="L43" s="29"/>
    </row>
    <row r="44" spans="2:12" ht="13.5" customHeight="1" outlineLevel="1" x14ac:dyDescent="0.2">
      <c r="B44" s="93" t="s">
        <v>88</v>
      </c>
      <c r="C44" s="41">
        <f>6038516302.33</f>
        <v>6038516302.3299999</v>
      </c>
      <c r="D44" s="41">
        <f>2565933854</f>
        <v>2565933854</v>
      </c>
      <c r="E44" s="41" t="s">
        <v>57</v>
      </c>
      <c r="F44" s="41" t="s">
        <v>57</v>
      </c>
      <c r="G44" s="41" t="s">
        <v>57</v>
      </c>
      <c r="H44" s="41" t="s">
        <v>57</v>
      </c>
      <c r="I44" s="41" t="s">
        <v>57</v>
      </c>
      <c r="J44" s="55">
        <f t="shared" si="0"/>
        <v>2.0779344507102113</v>
      </c>
      <c r="K44" s="55">
        <f t="shared" si="1"/>
        <v>42.492786729911089</v>
      </c>
      <c r="L44" s="29"/>
    </row>
    <row r="45" spans="2:12" ht="13.5" customHeight="1" outlineLevel="1" x14ac:dyDescent="0.2">
      <c r="B45" s="95" t="s">
        <v>89</v>
      </c>
      <c r="C45" s="22">
        <f>5487245618.92</f>
        <v>5487245618.9200001</v>
      </c>
      <c r="D45" s="22">
        <f>2188980524.08</f>
        <v>2188980524.0799999</v>
      </c>
      <c r="E45" s="24" t="s">
        <v>57</v>
      </c>
      <c r="F45" s="24" t="s">
        <v>57</v>
      </c>
      <c r="G45" s="24" t="s">
        <v>57</v>
      </c>
      <c r="H45" s="24" t="s">
        <v>57</v>
      </c>
      <c r="I45" s="24" t="s">
        <v>57</v>
      </c>
      <c r="J45" s="35">
        <f t="shared" si="0"/>
        <v>1.7726715892651865</v>
      </c>
      <c r="K45" s="35">
        <f t="shared" si="1"/>
        <v>39.892154937121902</v>
      </c>
      <c r="L45" s="29"/>
    </row>
    <row r="46" spans="2:12" s="5" customFormat="1" ht="25.5" customHeight="1" x14ac:dyDescent="0.2">
      <c r="B46" s="85" t="s">
        <v>60</v>
      </c>
      <c r="C46" s="25">
        <f>C47+C48+C49+C50+C51</f>
        <v>45144584343.250008</v>
      </c>
      <c r="D46" s="25">
        <f>D47+D48+D49+D50+D51</f>
        <v>36779678906.729996</v>
      </c>
      <c r="E46" s="23" t="s">
        <v>57</v>
      </c>
      <c r="F46" s="23" t="s">
        <v>57</v>
      </c>
      <c r="G46" s="23" t="s">
        <v>57</v>
      </c>
      <c r="H46" s="23" t="s">
        <v>57</v>
      </c>
      <c r="I46" s="23" t="s">
        <v>57</v>
      </c>
      <c r="J46" s="34">
        <f t="shared" si="0"/>
        <v>29.784774758404172</v>
      </c>
      <c r="K46" s="34">
        <f t="shared" si="1"/>
        <v>81.470855124240998</v>
      </c>
      <c r="L46" s="30"/>
    </row>
    <row r="47" spans="2:12" ht="13.5" customHeight="1" outlineLevel="1" x14ac:dyDescent="0.2">
      <c r="B47" s="32" t="s">
        <v>47</v>
      </c>
      <c r="C47" s="22">
        <f>10117557703</f>
        <v>10117557703</v>
      </c>
      <c r="D47" s="22">
        <f>7585290936</f>
        <v>7585290936</v>
      </c>
      <c r="E47" s="24" t="s">
        <v>57</v>
      </c>
      <c r="F47" s="24" t="s">
        <v>57</v>
      </c>
      <c r="G47" s="24" t="s">
        <v>57</v>
      </c>
      <c r="H47" s="24" t="s">
        <v>57</v>
      </c>
      <c r="I47" s="24" t="s">
        <v>57</v>
      </c>
      <c r="J47" s="35">
        <f t="shared" si="0"/>
        <v>6.1426904399751159</v>
      </c>
      <c r="K47" s="35">
        <f t="shared" si="1"/>
        <v>74.971560910899015</v>
      </c>
      <c r="L47" s="29"/>
    </row>
    <row r="48" spans="2:12" ht="13.5" customHeight="1" outlineLevel="1" x14ac:dyDescent="0.2">
      <c r="B48" s="54" t="s">
        <v>46</v>
      </c>
      <c r="C48" s="24">
        <f>28061731499.49</f>
        <v>28061731499.490002</v>
      </c>
      <c r="D48" s="24">
        <f>23759629209</f>
        <v>23759629209</v>
      </c>
      <c r="E48" s="24" t="s">
        <v>57</v>
      </c>
      <c r="F48" s="24" t="s">
        <v>57</v>
      </c>
      <c r="G48" s="24" t="s">
        <v>57</v>
      </c>
      <c r="H48" s="24" t="s">
        <v>57</v>
      </c>
      <c r="I48" s="24" t="s">
        <v>57</v>
      </c>
      <c r="J48" s="35">
        <f t="shared" si="0"/>
        <v>19.240929376459952</v>
      </c>
      <c r="K48" s="35">
        <f t="shared" si="1"/>
        <v>84.669148835066764</v>
      </c>
      <c r="L48" s="29"/>
    </row>
    <row r="49" spans="1:26" ht="13.5" customHeight="1" outlineLevel="1" x14ac:dyDescent="0.2">
      <c r="B49" s="54" t="s">
        <v>45</v>
      </c>
      <c r="C49" s="24">
        <f>236435</f>
        <v>236435</v>
      </c>
      <c r="D49" s="24">
        <f>0</f>
        <v>0</v>
      </c>
      <c r="E49" s="24" t="s">
        <v>57</v>
      </c>
      <c r="F49" s="24" t="s">
        <v>57</v>
      </c>
      <c r="G49" s="24" t="s">
        <v>57</v>
      </c>
      <c r="H49" s="24" t="s">
        <v>57</v>
      </c>
      <c r="I49" s="24" t="s">
        <v>57</v>
      </c>
      <c r="J49" s="35">
        <f t="shared" si="0"/>
        <v>0</v>
      </c>
      <c r="K49" s="35">
        <f t="shared" si="1"/>
        <v>0</v>
      </c>
      <c r="L49" s="29"/>
    </row>
    <row r="50" spans="1:26" ht="13.5" customHeight="1" outlineLevel="1" x14ac:dyDescent="0.2">
      <c r="B50" s="54" t="s">
        <v>44</v>
      </c>
      <c r="C50" s="24">
        <f>394250783</f>
        <v>394250783</v>
      </c>
      <c r="D50" s="24">
        <f>295688871</f>
        <v>295688871</v>
      </c>
      <c r="E50" s="24" t="s">
        <v>57</v>
      </c>
      <c r="F50" s="24" t="s">
        <v>57</v>
      </c>
      <c r="G50" s="24" t="s">
        <v>57</v>
      </c>
      <c r="H50" s="24" t="s">
        <v>57</v>
      </c>
      <c r="I50" s="24" t="s">
        <v>57</v>
      </c>
      <c r="J50" s="35">
        <f t="shared" si="0"/>
        <v>0.23945359728766707</v>
      </c>
      <c r="K50" s="35">
        <f t="shared" si="1"/>
        <v>75.000198794785902</v>
      </c>
      <c r="L50" s="29"/>
    </row>
    <row r="51" spans="1:26" s="5" customFormat="1" ht="13.5" customHeight="1" outlineLevel="1" x14ac:dyDescent="0.2">
      <c r="B51" s="54" t="s">
        <v>42</v>
      </c>
      <c r="C51" s="24">
        <f>6570807922.76</f>
        <v>6570807922.7600002</v>
      </c>
      <c r="D51" s="24">
        <f>5139069890.73</f>
        <v>5139069890.7299995</v>
      </c>
      <c r="E51" s="24" t="s">
        <v>57</v>
      </c>
      <c r="F51" s="24" t="s">
        <v>57</v>
      </c>
      <c r="G51" s="24" t="s">
        <v>57</v>
      </c>
      <c r="H51" s="24" t="s">
        <v>57</v>
      </c>
      <c r="I51" s="24" t="s">
        <v>57</v>
      </c>
      <c r="J51" s="35">
        <f t="shared" si="0"/>
        <v>4.1617013446814388</v>
      </c>
      <c r="K51" s="35">
        <f t="shared" si="1"/>
        <v>78.210624190204385</v>
      </c>
      <c r="L51" s="30"/>
    </row>
    <row r="52" spans="1:26" s="5" customFormat="1" x14ac:dyDescent="0.2">
      <c r="A52" s="2"/>
      <c r="B52" s="20"/>
      <c r="C52" s="7"/>
      <c r="D52" s="8"/>
      <c r="E52" s="16"/>
      <c r="F52" s="16"/>
      <c r="G52" s="16"/>
      <c r="H52" s="16"/>
      <c r="I52" s="16"/>
      <c r="J52" s="9"/>
      <c r="K52" s="9"/>
      <c r="L52" s="3"/>
    </row>
    <row r="53" spans="1:26" s="5" customFormat="1" ht="13.5" customHeight="1" x14ac:dyDescent="0.2">
      <c r="A53" s="2"/>
      <c r="B53" s="84" t="s">
        <v>5</v>
      </c>
      <c r="C53" s="41">
        <f t="shared" ref="C53:I53" si="4">+C6</f>
        <v>178362942183.91</v>
      </c>
      <c r="D53" s="41">
        <f t="shared" si="4"/>
        <v>123484831445.14</v>
      </c>
      <c r="E53" s="41">
        <f t="shared" si="4"/>
        <v>3119168918.27</v>
      </c>
      <c r="F53" s="41">
        <f t="shared" si="4"/>
        <v>552665197.12</v>
      </c>
      <c r="G53" s="41">
        <f t="shared" si="4"/>
        <v>69805494.930000007</v>
      </c>
      <c r="H53" s="41">
        <f t="shared" si="4"/>
        <v>116248158.09</v>
      </c>
      <c r="I53" s="41">
        <f t="shared" si="4"/>
        <v>2153012.69</v>
      </c>
      <c r="J53" s="56">
        <f t="shared" si="0"/>
        <v>100</v>
      </c>
      <c r="K53" s="78">
        <f>IF(C53=0,"",100*D53/C53)</f>
        <v>69.232336007226664</v>
      </c>
      <c r="L53" s="80"/>
    </row>
    <row r="54" spans="1:26" s="5" customFormat="1" ht="13.5" customHeight="1" x14ac:dyDescent="0.2">
      <c r="A54" s="2"/>
      <c r="B54" s="86" t="s">
        <v>70</v>
      </c>
      <c r="C54" s="24">
        <f>40351569107.85</f>
        <v>40351569107.849998</v>
      </c>
      <c r="D54" s="24">
        <f>16109290493.11</f>
        <v>16109290493.110001</v>
      </c>
      <c r="E54" s="24">
        <f>0</f>
        <v>0</v>
      </c>
      <c r="F54" s="24">
        <f>0</f>
        <v>0</v>
      </c>
      <c r="G54" s="24">
        <f>0</f>
        <v>0</v>
      </c>
      <c r="H54" s="24">
        <f>0</f>
        <v>0</v>
      </c>
      <c r="I54" s="24">
        <f>622350</f>
        <v>622350</v>
      </c>
      <c r="J54" s="38">
        <f t="shared" si="0"/>
        <v>13.045562199489089</v>
      </c>
      <c r="K54" s="79">
        <f>IF(C54=0,"",100*D54/C54)</f>
        <v>39.922339698993504</v>
      </c>
      <c r="L54" s="80"/>
    </row>
    <row r="55" spans="1:26" s="5" customFormat="1" ht="13.5" customHeight="1" x14ac:dyDescent="0.2">
      <c r="A55" s="2"/>
      <c r="B55" s="86" t="s">
        <v>71</v>
      </c>
      <c r="C55" s="24">
        <f>C53-C54</f>
        <v>138011373076.06</v>
      </c>
      <c r="D55" s="24">
        <f t="shared" ref="D55:I55" si="5">D53-D54</f>
        <v>107375540952.03</v>
      </c>
      <c r="E55" s="24">
        <f t="shared" si="5"/>
        <v>3119168918.27</v>
      </c>
      <c r="F55" s="24">
        <f t="shared" si="5"/>
        <v>552665197.12</v>
      </c>
      <c r="G55" s="24">
        <f t="shared" si="5"/>
        <v>69805494.930000007</v>
      </c>
      <c r="H55" s="24">
        <f t="shared" si="5"/>
        <v>116248158.09</v>
      </c>
      <c r="I55" s="24">
        <f t="shared" si="5"/>
        <v>1530662.69</v>
      </c>
      <c r="J55" s="38">
        <f t="shared" si="0"/>
        <v>86.954437800510917</v>
      </c>
      <c r="K55" s="79">
        <f>IF(C55=0,"",100*D55/C55)</f>
        <v>77.801951070259861</v>
      </c>
      <c r="L55" s="80"/>
    </row>
    <row r="56" spans="1:26" s="5" customFormat="1" ht="13.5" customHeight="1" x14ac:dyDescent="0.2">
      <c r="A56" s="2"/>
      <c r="B56" s="105" t="s">
        <v>105</v>
      </c>
      <c r="C56" s="105"/>
      <c r="D56" s="105"/>
      <c r="E56" s="105"/>
      <c r="F56" s="76"/>
      <c r="G56" s="76"/>
      <c r="H56" s="76"/>
      <c r="I56" s="76"/>
      <c r="J56" s="9"/>
      <c r="K56" s="9"/>
      <c r="L56" s="9"/>
    </row>
    <row r="57" spans="1:26" ht="15" x14ac:dyDescent="0.2">
      <c r="B57" s="91" t="str">
        <f>CONCATENATE("Informacja z wykonania budżetów gmin za ",$D$117," ",$C$118," rok     ",$C$120,"")</f>
        <v xml:space="preserve">Informacja z wykonania budżetów gmin za III Kwartały 2023 rok     </v>
      </c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91"/>
    </row>
    <row r="58" spans="1:26" s="5" customFormat="1" ht="7.5" customHeight="1" x14ac:dyDescent="0.2">
      <c r="B58" s="6"/>
      <c r="C58" s="7"/>
      <c r="D58" s="8"/>
      <c r="E58" s="8"/>
      <c r="F58" s="4"/>
      <c r="G58" s="4"/>
      <c r="H58" s="4"/>
      <c r="I58" s="4"/>
      <c r="J58" s="4"/>
      <c r="K58" s="9"/>
      <c r="L58" s="9"/>
      <c r="M58" s="3"/>
    </row>
    <row r="59" spans="1:26" ht="29.25" customHeight="1" x14ac:dyDescent="0.2">
      <c r="B59" s="106" t="s">
        <v>0</v>
      </c>
      <c r="C59" s="117" t="s">
        <v>53</v>
      </c>
      <c r="D59" s="117" t="s">
        <v>55</v>
      </c>
      <c r="E59" s="117" t="s">
        <v>54</v>
      </c>
      <c r="F59" s="117" t="s">
        <v>12</v>
      </c>
      <c r="G59" s="117"/>
      <c r="H59" s="117"/>
      <c r="I59" s="110" t="s">
        <v>80</v>
      </c>
      <c r="J59" s="117" t="s">
        <v>2</v>
      </c>
      <c r="K59" s="118" t="s">
        <v>18</v>
      </c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</row>
    <row r="60" spans="1:26" ht="18" customHeight="1" x14ac:dyDescent="0.2">
      <c r="B60" s="106"/>
      <c r="C60" s="117"/>
      <c r="D60" s="117"/>
      <c r="E60" s="121"/>
      <c r="F60" s="107" t="s">
        <v>56</v>
      </c>
      <c r="G60" s="122" t="s">
        <v>33</v>
      </c>
      <c r="H60" s="121"/>
      <c r="I60" s="111"/>
      <c r="J60" s="117"/>
      <c r="K60" s="118"/>
      <c r="L60" s="11"/>
      <c r="M60" s="12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1:26" ht="57.75" customHeight="1" x14ac:dyDescent="0.2">
      <c r="B61" s="106"/>
      <c r="C61" s="117"/>
      <c r="D61" s="117"/>
      <c r="E61" s="121"/>
      <c r="F61" s="121"/>
      <c r="G61" s="18" t="s">
        <v>51</v>
      </c>
      <c r="H61" s="18" t="s">
        <v>52</v>
      </c>
      <c r="I61" s="112"/>
      <c r="J61" s="117"/>
      <c r="K61" s="118"/>
      <c r="L61" s="11"/>
      <c r="M61" s="10"/>
      <c r="N61" s="2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3.5" customHeight="1" x14ac:dyDescent="0.2">
      <c r="B62" s="106"/>
      <c r="C62" s="113" t="s">
        <v>74</v>
      </c>
      <c r="D62" s="114"/>
      <c r="E62" s="114"/>
      <c r="F62" s="114"/>
      <c r="G62" s="114"/>
      <c r="H62" s="114"/>
      <c r="I62" s="115"/>
      <c r="J62" s="109" t="s">
        <v>4</v>
      </c>
      <c r="K62" s="109"/>
      <c r="N62" s="2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11.25" customHeight="1" x14ac:dyDescent="0.2">
      <c r="B63" s="17">
        <v>1</v>
      </c>
      <c r="C63" s="19">
        <v>2</v>
      </c>
      <c r="D63" s="19">
        <v>3</v>
      </c>
      <c r="E63" s="19">
        <v>4</v>
      </c>
      <c r="F63" s="17">
        <v>5</v>
      </c>
      <c r="G63" s="17">
        <v>6</v>
      </c>
      <c r="H63" s="19">
        <v>7</v>
      </c>
      <c r="I63" s="19">
        <v>8</v>
      </c>
      <c r="J63" s="17">
        <v>9</v>
      </c>
      <c r="K63" s="19">
        <v>10</v>
      </c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25.5" customHeight="1" x14ac:dyDescent="0.2">
      <c r="B64" s="84" t="s">
        <v>61</v>
      </c>
      <c r="C64" s="57">
        <f>203029602653.94</f>
        <v>203029602653.94</v>
      </c>
      <c r="D64" s="68">
        <f>121704237496.87</f>
        <v>121704237496.87</v>
      </c>
      <c r="E64" s="68">
        <f>160399726502.16</f>
        <v>160399726502.16</v>
      </c>
      <c r="F64" s="57">
        <f>4509004188.9</f>
        <v>4509004188.8999996</v>
      </c>
      <c r="G64" s="57">
        <f>2373010.94</f>
        <v>2373010.94</v>
      </c>
      <c r="H64" s="57">
        <f>21582312.28</f>
        <v>21582312.280000001</v>
      </c>
      <c r="I64" s="69">
        <f>0</f>
        <v>0</v>
      </c>
      <c r="J64" s="52">
        <f>IF($D$64=0,"",100*$D64/$D$64)</f>
        <v>100</v>
      </c>
      <c r="K64" s="52">
        <f>IF(C64=0,"",100*D64/C64)</f>
        <v>59.944084954110117</v>
      </c>
      <c r="N64" s="77"/>
    </row>
    <row r="65" spans="2:14" ht="13.5" customHeight="1" x14ac:dyDescent="0.2">
      <c r="B65" s="85" t="s">
        <v>14</v>
      </c>
      <c r="C65" s="26">
        <f>64605902237.0501</f>
        <v>64605902237.050102</v>
      </c>
      <c r="D65" s="26">
        <f>25142937535.8901</f>
        <v>25142937535.890099</v>
      </c>
      <c r="E65" s="26">
        <f>43785903058.7201</f>
        <v>43785903058.7201</v>
      </c>
      <c r="F65" s="26">
        <f>2178886882.59</f>
        <v>2178886882.5900002</v>
      </c>
      <c r="G65" s="26">
        <f>47078.57</f>
        <v>47078.57</v>
      </c>
      <c r="H65" s="26">
        <f>4175361.25</f>
        <v>4175361.25</v>
      </c>
      <c r="I65" s="70">
        <f>0</f>
        <v>0</v>
      </c>
      <c r="J65" s="52">
        <f t="shared" ref="J65:J73" si="6">IF($D$64=0,"",100*$D65/$D$64)</f>
        <v>20.65904856972357</v>
      </c>
      <c r="K65" s="52">
        <f t="shared" ref="K65:K73" si="7">IF(C65=0,"",100*D65/C65)</f>
        <v>38.917400214668255</v>
      </c>
      <c r="N65" s="61"/>
    </row>
    <row r="66" spans="2:14" ht="13.5" customHeight="1" outlineLevel="1" x14ac:dyDescent="0.2">
      <c r="B66" s="32" t="s">
        <v>13</v>
      </c>
      <c r="C66" s="22">
        <f>62778769212.5601</f>
        <v>62778769212.560097</v>
      </c>
      <c r="D66" s="22">
        <f>24163612886.0301</f>
        <v>24163612886.030102</v>
      </c>
      <c r="E66" s="22">
        <f>42761767285.3501</f>
        <v>42761767285.350098</v>
      </c>
      <c r="F66" s="22">
        <f>2173463147.59</f>
        <v>2173463147.5900002</v>
      </c>
      <c r="G66" s="22">
        <f>47078.57</f>
        <v>47078.57</v>
      </c>
      <c r="H66" s="22">
        <f>4175361.25</f>
        <v>4175361.25</v>
      </c>
      <c r="I66" s="66">
        <f>0</f>
        <v>0</v>
      </c>
      <c r="J66" s="52">
        <f t="shared" si="6"/>
        <v>19.854372684970436</v>
      </c>
      <c r="K66" s="52">
        <f t="shared" si="7"/>
        <v>38.49010292670043</v>
      </c>
      <c r="N66" s="76"/>
    </row>
    <row r="67" spans="2:14" ht="27" customHeight="1" x14ac:dyDescent="0.2">
      <c r="B67" s="85" t="s">
        <v>62</v>
      </c>
      <c r="C67" s="26">
        <f t="shared" ref="C67:I67" si="8">C64-C65</f>
        <v>138423700416.88989</v>
      </c>
      <c r="D67" s="26">
        <f>D64-D65</f>
        <v>96561299960.979889</v>
      </c>
      <c r="E67" s="26">
        <f>E64-E65</f>
        <v>116613823443.43991</v>
      </c>
      <c r="F67" s="26">
        <f t="shared" si="8"/>
        <v>2330117306.3099995</v>
      </c>
      <c r="G67" s="26">
        <f t="shared" si="8"/>
        <v>2325932.37</v>
      </c>
      <c r="H67" s="26">
        <f t="shared" si="8"/>
        <v>17406951.030000001</v>
      </c>
      <c r="I67" s="70">
        <f t="shared" si="8"/>
        <v>0</v>
      </c>
      <c r="J67" s="52">
        <f t="shared" si="6"/>
        <v>79.340951430276419</v>
      </c>
      <c r="K67" s="52">
        <f t="shared" si="7"/>
        <v>69.757779679467276</v>
      </c>
      <c r="N67" s="61"/>
    </row>
    <row r="68" spans="2:14" ht="22.5" outlineLevel="1" x14ac:dyDescent="0.2">
      <c r="B68" s="32" t="s">
        <v>96</v>
      </c>
      <c r="C68" s="22">
        <f>59284338703.29</f>
        <v>59284338703.290001</v>
      </c>
      <c r="D68" s="22">
        <f>43330708484.76</f>
        <v>43330708484.760002</v>
      </c>
      <c r="E68" s="22">
        <f>54769758526.3499</f>
        <v>54769758526.349899</v>
      </c>
      <c r="F68" s="22">
        <f>995073717.12</f>
        <v>995073717.12</v>
      </c>
      <c r="G68" s="22">
        <f>877194.37</f>
        <v>877194.37</v>
      </c>
      <c r="H68" s="22">
        <f>1952106.62</f>
        <v>1952106.62</v>
      </c>
      <c r="I68" s="66">
        <f>0</f>
        <v>0</v>
      </c>
      <c r="J68" s="52">
        <f t="shared" si="6"/>
        <v>35.603286603619189</v>
      </c>
      <c r="K68" s="52">
        <f t="shared" si="7"/>
        <v>73.08963789176137</v>
      </c>
      <c r="N68" s="76"/>
    </row>
    <row r="69" spans="2:14" ht="13.5" customHeight="1" outlineLevel="1" x14ac:dyDescent="0.2">
      <c r="B69" s="54" t="s">
        <v>50</v>
      </c>
      <c r="C69" s="59">
        <f>12492099041.72</f>
        <v>12492099041.719999</v>
      </c>
      <c r="D69" s="59">
        <f>9367284974.93</f>
        <v>9367284974.9300003</v>
      </c>
      <c r="E69" s="59">
        <f>10493705145.72</f>
        <v>10493705145.719999</v>
      </c>
      <c r="F69" s="59">
        <f>27525852.15</f>
        <v>27525852.149999999</v>
      </c>
      <c r="G69" s="59">
        <f>0</f>
        <v>0</v>
      </c>
      <c r="H69" s="59">
        <f>34548.25</f>
        <v>34548.25</v>
      </c>
      <c r="I69" s="71">
        <f>0</f>
        <v>0</v>
      </c>
      <c r="J69" s="52">
        <f t="shared" si="6"/>
        <v>7.6967615652420553</v>
      </c>
      <c r="K69" s="52">
        <f t="shared" si="7"/>
        <v>74.985676495567134</v>
      </c>
      <c r="N69" s="75"/>
    </row>
    <row r="70" spans="2:14" ht="13.5" customHeight="1" outlineLevel="1" x14ac:dyDescent="0.2">
      <c r="B70" s="54" t="s">
        <v>49</v>
      </c>
      <c r="C70" s="24">
        <f>2657271602.45</f>
        <v>2657271602.4499998</v>
      </c>
      <c r="D70" s="24">
        <f>1685329580.33</f>
        <v>1685329580.3299999</v>
      </c>
      <c r="E70" s="24">
        <f>1904916019.58</f>
        <v>1904916019.5799999</v>
      </c>
      <c r="F70" s="24">
        <f>100558582.99</f>
        <v>100558582.98999999</v>
      </c>
      <c r="G70" s="24">
        <f>58210</f>
        <v>58210</v>
      </c>
      <c r="H70" s="24">
        <f>0</f>
        <v>0</v>
      </c>
      <c r="I70" s="72">
        <f>0</f>
        <v>0</v>
      </c>
      <c r="J70" s="52">
        <f t="shared" si="6"/>
        <v>1.3847747744800945</v>
      </c>
      <c r="K70" s="52">
        <f t="shared" si="7"/>
        <v>63.423309035332672</v>
      </c>
      <c r="N70" s="76"/>
    </row>
    <row r="71" spans="2:14" ht="24" customHeight="1" outlineLevel="1" x14ac:dyDescent="0.2">
      <c r="B71" s="54" t="s">
        <v>68</v>
      </c>
      <c r="C71" s="59">
        <f>79169272.99</f>
        <v>79169272.989999995</v>
      </c>
      <c r="D71" s="59">
        <f>1021417.05</f>
        <v>1021417.05</v>
      </c>
      <c r="E71" s="59">
        <f>4260069.08</f>
        <v>4260069.08</v>
      </c>
      <c r="F71" s="59">
        <f>0</f>
        <v>0</v>
      </c>
      <c r="G71" s="59">
        <f>0</f>
        <v>0</v>
      </c>
      <c r="H71" s="59">
        <f>0</f>
        <v>0</v>
      </c>
      <c r="I71" s="71">
        <f>0</f>
        <v>0</v>
      </c>
      <c r="J71" s="52">
        <f t="shared" si="6"/>
        <v>8.3926169787331274E-4</v>
      </c>
      <c r="K71" s="52">
        <f t="shared" si="7"/>
        <v>1.2901685356249475</v>
      </c>
      <c r="N71" s="75"/>
    </row>
    <row r="72" spans="2:14" ht="22.5" outlineLevel="1" x14ac:dyDescent="0.2">
      <c r="B72" s="54" t="s">
        <v>69</v>
      </c>
      <c r="C72" s="59">
        <f>15734305333.41</f>
        <v>15734305333.41</v>
      </c>
      <c r="D72" s="59">
        <f>11808827705.9</f>
        <v>11808827705.9</v>
      </c>
      <c r="E72" s="59">
        <f>13407420763.63</f>
        <v>13407420763.629999</v>
      </c>
      <c r="F72" s="59">
        <f>111811285.28</f>
        <v>111811285.28</v>
      </c>
      <c r="G72" s="59">
        <f>3977.81</f>
        <v>3977.81</v>
      </c>
      <c r="H72" s="59">
        <f>252051.41</f>
        <v>252051.41</v>
      </c>
      <c r="I72" s="73">
        <f>0</f>
        <v>0</v>
      </c>
      <c r="J72" s="52">
        <f t="shared" si="6"/>
        <v>9.7028895203453374</v>
      </c>
      <c r="K72" s="52">
        <f t="shared" si="7"/>
        <v>75.051471645369077</v>
      </c>
      <c r="N72" s="75"/>
    </row>
    <row r="73" spans="2:14" ht="13.5" customHeight="1" outlineLevel="1" x14ac:dyDescent="0.2">
      <c r="B73" s="54" t="s">
        <v>48</v>
      </c>
      <c r="C73" s="24">
        <f t="shared" ref="C73:I73" si="9">C67-C68-C69-C70-C71-C72</f>
        <v>48176516463.029892</v>
      </c>
      <c r="D73" s="24">
        <f>D67-D68-D69-D70-D71-D72</f>
        <v>30368127798.00988</v>
      </c>
      <c r="E73" s="24">
        <f>E67-E68-E69-E70-E71-E72</f>
        <v>36033762919.080009</v>
      </c>
      <c r="F73" s="24">
        <f t="shared" si="9"/>
        <v>1095147868.7699995</v>
      </c>
      <c r="G73" s="24">
        <f t="shared" si="9"/>
        <v>1386550.19</v>
      </c>
      <c r="H73" s="24">
        <f t="shared" si="9"/>
        <v>15168244.75</v>
      </c>
      <c r="I73" s="71">
        <f t="shared" si="9"/>
        <v>0</v>
      </c>
      <c r="J73" s="52">
        <f t="shared" si="6"/>
        <v>24.95239970489186</v>
      </c>
      <c r="K73" s="52">
        <f t="shared" si="7"/>
        <v>63.035125881951288</v>
      </c>
      <c r="N73" s="76"/>
    </row>
    <row r="74" spans="2:14" ht="18" customHeight="1" x14ac:dyDescent="0.2">
      <c r="B74" s="84" t="s">
        <v>15</v>
      </c>
      <c r="C74" s="26">
        <f>C6-C64</f>
        <v>-24666660470.029999</v>
      </c>
      <c r="D74" s="26">
        <f>D6-D64</f>
        <v>1780593948.2700043</v>
      </c>
      <c r="E74" s="81"/>
      <c r="F74" s="61"/>
      <c r="G74" s="61"/>
      <c r="H74" s="61"/>
      <c r="I74" s="82"/>
      <c r="J74" s="28"/>
      <c r="K74" s="28"/>
      <c r="L74" s="13"/>
      <c r="N74" s="61"/>
    </row>
    <row r="75" spans="2:14" ht="38.25" x14ac:dyDescent="0.2">
      <c r="B75" s="87" t="s">
        <v>101</v>
      </c>
      <c r="C75" s="26">
        <f>+C55-C67</f>
        <v>-412327340.82989502</v>
      </c>
      <c r="D75" s="26">
        <f>+D55-D67</f>
        <v>10814240991.05011</v>
      </c>
      <c r="E75" s="81"/>
      <c r="F75" s="61"/>
      <c r="G75" s="61"/>
      <c r="H75" s="61"/>
      <c r="I75" s="61"/>
      <c r="J75" s="28"/>
      <c r="K75" s="28"/>
      <c r="L75" s="13"/>
      <c r="N75" s="61"/>
    </row>
    <row r="76" spans="2:14" x14ac:dyDescent="0.2">
      <c r="B76" s="60"/>
      <c r="C76" s="61"/>
      <c r="D76" s="61"/>
      <c r="E76" s="61"/>
      <c r="F76" s="61"/>
      <c r="G76" s="61"/>
      <c r="H76" s="61"/>
      <c r="I76" s="61"/>
      <c r="J76" s="61"/>
      <c r="K76" s="28"/>
      <c r="L76" s="28"/>
      <c r="M76" s="13"/>
    </row>
    <row r="77" spans="2:14" ht="14.25" customHeight="1" x14ac:dyDescent="0.2">
      <c r="B77" s="103" t="s">
        <v>106</v>
      </c>
      <c r="C77" s="104"/>
      <c r="D77" s="104"/>
      <c r="E77" s="104"/>
      <c r="F77" s="104"/>
      <c r="G77" s="61"/>
      <c r="H77" s="61"/>
      <c r="I77" s="61"/>
      <c r="J77" s="61"/>
      <c r="K77" s="28"/>
      <c r="L77" s="28"/>
      <c r="M77" s="13"/>
    </row>
    <row r="78" spans="2:14" ht="27" customHeight="1" x14ac:dyDescent="0.2">
      <c r="B78" s="84" t="s">
        <v>102</v>
      </c>
      <c r="C78" s="41">
        <f>9915870985.67</f>
        <v>9915870985.6700001</v>
      </c>
      <c r="D78" s="41">
        <f>4865881310.69</f>
        <v>4865881310.6899996</v>
      </c>
      <c r="E78" s="41">
        <f>7267955895.52</f>
        <v>7267955895.5200005</v>
      </c>
      <c r="F78" s="41">
        <f>279941644.32</f>
        <v>279941644.31999999</v>
      </c>
      <c r="G78" s="41">
        <f>3962.59</f>
        <v>3962.59</v>
      </c>
      <c r="H78" s="41">
        <f>1730107.16</f>
        <v>1730107.16</v>
      </c>
      <c r="I78" s="41">
        <f>0</f>
        <v>0</v>
      </c>
      <c r="J78" s="62">
        <f>IF($D$78=0,"",100*$D78/$D$78)</f>
        <v>100</v>
      </c>
      <c r="K78" s="62">
        <f>IF(C78=0,"",100*D78/C78)</f>
        <v>49.071648045057934</v>
      </c>
      <c r="L78" s="13"/>
    </row>
    <row r="79" spans="2:14" ht="15" customHeight="1" x14ac:dyDescent="0.2">
      <c r="B79" s="88" t="s">
        <v>72</v>
      </c>
      <c r="C79" s="22">
        <f>8774730019.62</f>
        <v>8774730019.6200008</v>
      </c>
      <c r="D79" s="22">
        <f>4058530887.69</f>
        <v>4058530887.6900001</v>
      </c>
      <c r="E79" s="22">
        <f>6388676424.40999</f>
        <v>6388676424.4099903</v>
      </c>
      <c r="F79" s="22">
        <f>270444081.82</f>
        <v>270444081.81999999</v>
      </c>
      <c r="G79" s="22">
        <f>3233.33</f>
        <v>3233.33</v>
      </c>
      <c r="H79" s="22">
        <f>1647101.88</f>
        <v>1647101.88</v>
      </c>
      <c r="I79" s="22">
        <f>0</f>
        <v>0</v>
      </c>
      <c r="J79" s="62">
        <f>IF($D$78=0,"",100*$D79/$D$78)</f>
        <v>83.407930209347541</v>
      </c>
      <c r="K79" s="62">
        <f>IF(C79=0,"",100*D79/C79)</f>
        <v>46.252487297218963</v>
      </c>
      <c r="L79" s="13"/>
    </row>
    <row r="80" spans="2:14" ht="14.25" customHeight="1" x14ac:dyDescent="0.2">
      <c r="B80" s="89" t="s">
        <v>73</v>
      </c>
      <c r="C80" s="22">
        <f>+C78-C79</f>
        <v>1141140966.0499992</v>
      </c>
      <c r="D80" s="22">
        <f t="shared" ref="D80:I80" si="10">+D78-D79</f>
        <v>807350422.99999952</v>
      </c>
      <c r="E80" s="22">
        <f t="shared" si="10"/>
        <v>879279471.11001015</v>
      </c>
      <c r="F80" s="22">
        <f t="shared" si="10"/>
        <v>9497562.5</v>
      </c>
      <c r="G80" s="22">
        <f t="shared" si="10"/>
        <v>729.26000000000022</v>
      </c>
      <c r="H80" s="22">
        <f t="shared" si="10"/>
        <v>83005.280000000028</v>
      </c>
      <c r="I80" s="22">
        <f t="shared" si="10"/>
        <v>0</v>
      </c>
      <c r="J80" s="62">
        <f>IF($D$78=0,"",100*$D80/$D$78)</f>
        <v>16.592069790652463</v>
      </c>
      <c r="K80" s="62">
        <f>IF(C80=0,"",100*D80/C80)</f>
        <v>70.749403186759778</v>
      </c>
      <c r="L80" s="10"/>
    </row>
    <row r="81" spans="2:13" ht="15" x14ac:dyDescent="0.2">
      <c r="B81" s="91" t="str">
        <f>CONCATENATE("Informacja z wykonania budżetów gmin za ",$D$117," ",$C$118," rok     ",$C$120,"")</f>
        <v xml:space="preserve">Informacja z wykonania budżetów gmin za III Kwartały 2023 rok     </v>
      </c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</row>
    <row r="83" spans="2:13" ht="18" customHeight="1" x14ac:dyDescent="0.2">
      <c r="B83" s="40" t="s">
        <v>16</v>
      </c>
      <c r="C83" s="67" t="s">
        <v>17</v>
      </c>
      <c r="D83" s="67" t="s">
        <v>1</v>
      </c>
      <c r="E83" s="123" t="s">
        <v>57</v>
      </c>
      <c r="F83" s="124"/>
      <c r="G83" s="124"/>
      <c r="H83" s="124"/>
      <c r="I83" s="125"/>
      <c r="J83" s="19" t="s">
        <v>26</v>
      </c>
      <c r="K83" s="19" t="s">
        <v>27</v>
      </c>
    </row>
    <row r="84" spans="2:13" ht="13.5" customHeight="1" x14ac:dyDescent="0.2">
      <c r="B84" s="40"/>
      <c r="C84" s="107" t="s">
        <v>74</v>
      </c>
      <c r="D84" s="108"/>
      <c r="E84" s="126"/>
      <c r="F84" s="127"/>
      <c r="G84" s="127"/>
      <c r="H84" s="127"/>
      <c r="I84" s="128"/>
      <c r="J84" s="107" t="s">
        <v>4</v>
      </c>
      <c r="K84" s="116"/>
      <c r="M84" s="14"/>
    </row>
    <row r="85" spans="2:13" ht="11.25" customHeight="1" x14ac:dyDescent="0.2">
      <c r="B85" s="39">
        <v>1</v>
      </c>
      <c r="C85" s="42">
        <v>2</v>
      </c>
      <c r="D85" s="42">
        <v>3</v>
      </c>
      <c r="E85" s="129"/>
      <c r="F85" s="130"/>
      <c r="G85" s="130"/>
      <c r="H85" s="130"/>
      <c r="I85" s="131"/>
      <c r="J85" s="31">
        <v>4</v>
      </c>
      <c r="K85" s="31">
        <v>5</v>
      </c>
      <c r="M85" s="10"/>
    </row>
    <row r="86" spans="2:13" ht="27" customHeight="1" x14ac:dyDescent="0.2">
      <c r="B86" s="90" t="s">
        <v>63</v>
      </c>
      <c r="C86" s="43">
        <f>29824443182.76</f>
        <v>29824443182.759998</v>
      </c>
      <c r="D86" s="43">
        <f>26593646458.48</f>
        <v>26593646458.48</v>
      </c>
      <c r="E86" s="43" t="s">
        <v>57</v>
      </c>
      <c r="F86" s="43" t="s">
        <v>57</v>
      </c>
      <c r="G86" s="43" t="s">
        <v>57</v>
      </c>
      <c r="H86" s="43" t="s">
        <v>57</v>
      </c>
      <c r="I86" s="43" t="s">
        <v>57</v>
      </c>
      <c r="J86" s="37">
        <f t="shared" ref="J86:J96" si="11">IF($D$86=0,"",100*$D86/$D$86)</f>
        <v>100</v>
      </c>
      <c r="K86" s="36">
        <f t="shared" ref="K86:K101" si="12">IF(C86=0,"",100*D86/C86)</f>
        <v>89.167285690860581</v>
      </c>
    </row>
    <row r="87" spans="2:13" ht="36" customHeight="1" x14ac:dyDescent="0.2">
      <c r="B87" s="98" t="s">
        <v>103</v>
      </c>
      <c r="C87" s="44">
        <f>11743536446.89</f>
        <v>11743536446.889999</v>
      </c>
      <c r="D87" s="44">
        <f>2230733135.82</f>
        <v>2230733135.8200002</v>
      </c>
      <c r="E87" s="43" t="s">
        <v>57</v>
      </c>
      <c r="F87" s="43" t="s">
        <v>57</v>
      </c>
      <c r="G87" s="43" t="s">
        <v>57</v>
      </c>
      <c r="H87" s="43" t="s">
        <v>57</v>
      </c>
      <c r="I87" s="43" t="s">
        <v>57</v>
      </c>
      <c r="J87" s="50">
        <f t="shared" si="11"/>
        <v>8.3882183637463505</v>
      </c>
      <c r="K87" s="51">
        <f t="shared" si="12"/>
        <v>18.995412037153066</v>
      </c>
    </row>
    <row r="88" spans="2:13" ht="22.5" x14ac:dyDescent="0.2">
      <c r="B88" s="99" t="s">
        <v>81</v>
      </c>
      <c r="C88" s="63">
        <f>469405716.91</f>
        <v>469405716.91000003</v>
      </c>
      <c r="D88" s="63">
        <f>85639000</f>
        <v>85639000</v>
      </c>
      <c r="E88" s="43" t="s">
        <v>57</v>
      </c>
      <c r="F88" s="43" t="s">
        <v>57</v>
      </c>
      <c r="G88" s="43" t="s">
        <v>57</v>
      </c>
      <c r="H88" s="43" t="s">
        <v>57</v>
      </c>
      <c r="I88" s="43" t="s">
        <v>57</v>
      </c>
      <c r="J88" s="64">
        <f t="shared" si="11"/>
        <v>0.32202804581051359</v>
      </c>
      <c r="K88" s="58">
        <f t="shared" si="12"/>
        <v>18.24413229641592</v>
      </c>
    </row>
    <row r="89" spans="2:13" ht="13.5" customHeight="1" x14ac:dyDescent="0.2">
      <c r="B89" s="100" t="s">
        <v>82</v>
      </c>
      <c r="C89" s="63">
        <f>185152255.72</f>
        <v>185152255.72</v>
      </c>
      <c r="D89" s="63">
        <f>97262691.01</f>
        <v>97262691.010000005</v>
      </c>
      <c r="E89" s="43" t="s">
        <v>57</v>
      </c>
      <c r="F89" s="43" t="s">
        <v>57</v>
      </c>
      <c r="G89" s="43" t="s">
        <v>57</v>
      </c>
      <c r="H89" s="43" t="s">
        <v>57</v>
      </c>
      <c r="I89" s="43" t="s">
        <v>57</v>
      </c>
      <c r="J89" s="64">
        <f t="shared" si="11"/>
        <v>0.36573657231193857</v>
      </c>
      <c r="K89" s="58">
        <f t="shared" si="12"/>
        <v>52.531194195704181</v>
      </c>
    </row>
    <row r="90" spans="2:13" ht="50.1" customHeight="1" x14ac:dyDescent="0.2">
      <c r="B90" s="100" t="s">
        <v>97</v>
      </c>
      <c r="C90" s="63">
        <f>4711395771.6</f>
        <v>4711395771.6000004</v>
      </c>
      <c r="D90" s="63">
        <f>7418108344.42</f>
        <v>7418108344.4200001</v>
      </c>
      <c r="E90" s="43" t="s">
        <v>57</v>
      </c>
      <c r="F90" s="43" t="s">
        <v>57</v>
      </c>
      <c r="G90" s="43" t="s">
        <v>57</v>
      </c>
      <c r="H90" s="43" t="s">
        <v>57</v>
      </c>
      <c r="I90" s="43" t="s">
        <v>57</v>
      </c>
      <c r="J90" s="64">
        <f t="shared" si="11"/>
        <v>27.894288043581042</v>
      </c>
      <c r="K90" s="58">
        <f t="shared" si="12"/>
        <v>157.450333277792</v>
      </c>
    </row>
    <row r="91" spans="2:13" ht="35.1" customHeight="1" x14ac:dyDescent="0.2">
      <c r="B91" s="100" t="s">
        <v>113</v>
      </c>
      <c r="C91" s="63">
        <f>3675778191.84</f>
        <v>3675778191.8400002</v>
      </c>
      <c r="D91" s="63">
        <f>4100672434.26</f>
        <v>4100672434.2600002</v>
      </c>
      <c r="E91" s="43" t="s">
        <v>57</v>
      </c>
      <c r="F91" s="43" t="s">
        <v>57</v>
      </c>
      <c r="G91" s="43" t="s">
        <v>57</v>
      </c>
      <c r="H91" s="43" t="s">
        <v>57</v>
      </c>
      <c r="I91" s="43" t="s">
        <v>57</v>
      </c>
      <c r="J91" s="64">
        <f t="shared" si="11"/>
        <v>15.419744865234176</v>
      </c>
      <c r="K91" s="58">
        <f t="shared" si="12"/>
        <v>111.55930037789655</v>
      </c>
    </row>
    <row r="92" spans="2:13" ht="13.5" customHeight="1" x14ac:dyDescent="0.2">
      <c r="B92" s="100" t="s">
        <v>83</v>
      </c>
      <c r="C92" s="63">
        <f>0</f>
        <v>0</v>
      </c>
      <c r="D92" s="63">
        <f>0</f>
        <v>0</v>
      </c>
      <c r="E92" s="43" t="s">
        <v>57</v>
      </c>
      <c r="F92" s="43" t="s">
        <v>57</v>
      </c>
      <c r="G92" s="43" t="s">
        <v>57</v>
      </c>
      <c r="H92" s="43" t="s">
        <v>57</v>
      </c>
      <c r="I92" s="43" t="s">
        <v>57</v>
      </c>
      <c r="J92" s="64">
        <f t="shared" si="11"/>
        <v>0</v>
      </c>
      <c r="K92" s="58" t="str">
        <f t="shared" si="12"/>
        <v/>
      </c>
    </row>
    <row r="93" spans="2:13" ht="35.1" customHeight="1" x14ac:dyDescent="0.2">
      <c r="B93" s="100" t="s">
        <v>91</v>
      </c>
      <c r="C93" s="63">
        <f>9023484925.49</f>
        <v>9023484925.4899998</v>
      </c>
      <c r="D93" s="63">
        <f>12068549748.95</f>
        <v>12068549748.950001</v>
      </c>
      <c r="E93" s="43" t="s">
        <v>57</v>
      </c>
      <c r="F93" s="43" t="s">
        <v>57</v>
      </c>
      <c r="G93" s="43" t="s">
        <v>57</v>
      </c>
      <c r="H93" s="43" t="s">
        <v>57</v>
      </c>
      <c r="I93" s="43" t="s">
        <v>57</v>
      </c>
      <c r="J93" s="64">
        <f t="shared" si="11"/>
        <v>45.381327332422529</v>
      </c>
      <c r="K93" s="58">
        <f t="shared" si="12"/>
        <v>133.74599557270989</v>
      </c>
    </row>
    <row r="94" spans="2:13" ht="56.25" x14ac:dyDescent="0.2">
      <c r="B94" s="100" t="s">
        <v>114</v>
      </c>
      <c r="C94" s="63">
        <f>0</f>
        <v>0</v>
      </c>
      <c r="D94" s="63">
        <f>208954711.38</f>
        <v>208954711.38</v>
      </c>
      <c r="E94" s="43" t="s">
        <v>57</v>
      </c>
      <c r="F94" s="43" t="s">
        <v>57</v>
      </c>
      <c r="G94" s="43" t="s">
        <v>57</v>
      </c>
      <c r="H94" s="43" t="s">
        <v>57</v>
      </c>
      <c r="I94" s="43" t="s">
        <v>57</v>
      </c>
      <c r="J94" s="64"/>
      <c r="K94" s="58"/>
    </row>
    <row r="95" spans="2:13" x14ac:dyDescent="0.2">
      <c r="B95" s="100" t="s">
        <v>108</v>
      </c>
      <c r="C95" s="63">
        <f>485095591.22</f>
        <v>485095591.22000003</v>
      </c>
      <c r="D95" s="63">
        <f>469365392.64</f>
        <v>469365392.63999999</v>
      </c>
      <c r="E95" s="43" t="s">
        <v>57</v>
      </c>
      <c r="F95" s="43" t="s">
        <v>57</v>
      </c>
      <c r="G95" s="43" t="s">
        <v>57</v>
      </c>
      <c r="H95" s="43" t="s">
        <v>57</v>
      </c>
      <c r="I95" s="43" t="s">
        <v>57</v>
      </c>
      <c r="J95" s="64"/>
      <c r="K95" s="58"/>
    </row>
    <row r="96" spans="2:13" ht="22.5" x14ac:dyDescent="0.2">
      <c r="B96" s="99" t="s">
        <v>109</v>
      </c>
      <c r="C96" s="63">
        <f>438514619.62</f>
        <v>438514619.62</v>
      </c>
      <c r="D96" s="63">
        <f>455875970.62</f>
        <v>455875970.62</v>
      </c>
      <c r="E96" s="43" t="s">
        <v>57</v>
      </c>
      <c r="F96" s="43" t="s">
        <v>57</v>
      </c>
      <c r="G96" s="43" t="s">
        <v>57</v>
      </c>
      <c r="H96" s="43" t="s">
        <v>57</v>
      </c>
      <c r="I96" s="43" t="s">
        <v>57</v>
      </c>
      <c r="J96" s="64">
        <f t="shared" si="11"/>
        <v>1.7142288904673071</v>
      </c>
      <c r="K96" s="58">
        <f t="shared" si="12"/>
        <v>103.959127067427</v>
      </c>
    </row>
    <row r="97" spans="2:11" ht="27" customHeight="1" x14ac:dyDescent="0.2">
      <c r="B97" s="90" t="s">
        <v>64</v>
      </c>
      <c r="C97" s="49">
        <f>5153852531.87</f>
        <v>5153852531.8699999</v>
      </c>
      <c r="D97" s="49">
        <f>4000694538.15</f>
        <v>4000694538.1500001</v>
      </c>
      <c r="E97" s="43" t="s">
        <v>57</v>
      </c>
      <c r="F97" s="43" t="s">
        <v>57</v>
      </c>
      <c r="G97" s="43" t="s">
        <v>57</v>
      </c>
      <c r="H97" s="43" t="s">
        <v>57</v>
      </c>
      <c r="I97" s="43" t="s">
        <v>57</v>
      </c>
      <c r="J97" s="37">
        <f t="shared" ref="J97:J102" si="13">IF($D$97=0,"",100*$D97/$D$97)</f>
        <v>100</v>
      </c>
      <c r="K97" s="36">
        <f t="shared" si="12"/>
        <v>77.625320348434698</v>
      </c>
    </row>
    <row r="98" spans="2:11" ht="36" customHeight="1" x14ac:dyDescent="0.2">
      <c r="B98" s="98" t="s">
        <v>99</v>
      </c>
      <c r="C98" s="44">
        <f>4255023049.82</f>
        <v>4255023049.8200002</v>
      </c>
      <c r="D98" s="48">
        <f>2543443587.99</f>
        <v>2543443587.9899998</v>
      </c>
      <c r="E98" s="43" t="s">
        <v>57</v>
      </c>
      <c r="F98" s="43" t="s">
        <v>57</v>
      </c>
      <c r="G98" s="43" t="s">
        <v>57</v>
      </c>
      <c r="H98" s="43" t="s">
        <v>57</v>
      </c>
      <c r="I98" s="43" t="s">
        <v>57</v>
      </c>
      <c r="J98" s="50">
        <f t="shared" si="13"/>
        <v>63.575050875194741</v>
      </c>
      <c r="K98" s="51">
        <f t="shared" si="12"/>
        <v>59.775083664883901</v>
      </c>
    </row>
    <row r="99" spans="2:11" ht="13.5" customHeight="1" x14ac:dyDescent="0.2">
      <c r="B99" s="99" t="s">
        <v>84</v>
      </c>
      <c r="C99" s="63">
        <f>116535004.02</f>
        <v>116535004.02</v>
      </c>
      <c r="D99" s="63">
        <f>47920788.82</f>
        <v>47920788.82</v>
      </c>
      <c r="E99" s="43" t="s">
        <v>57</v>
      </c>
      <c r="F99" s="43" t="s">
        <v>57</v>
      </c>
      <c r="G99" s="43" t="s">
        <v>57</v>
      </c>
      <c r="H99" s="43" t="s">
        <v>57</v>
      </c>
      <c r="I99" s="43" t="s">
        <v>57</v>
      </c>
      <c r="J99" s="64">
        <f t="shared" si="13"/>
        <v>1.1978117390126843</v>
      </c>
      <c r="K99" s="58">
        <f t="shared" si="12"/>
        <v>41.121368830755543</v>
      </c>
    </row>
    <row r="100" spans="2:11" ht="13.5" customHeight="1" x14ac:dyDescent="0.2">
      <c r="B100" s="100" t="s">
        <v>85</v>
      </c>
      <c r="C100" s="63">
        <f>134636968.65</f>
        <v>134636968.65000001</v>
      </c>
      <c r="D100" s="63">
        <f>131945363.76</f>
        <v>131945363.76000001</v>
      </c>
      <c r="E100" s="43" t="s">
        <v>57</v>
      </c>
      <c r="F100" s="43" t="s">
        <v>57</v>
      </c>
      <c r="G100" s="43" t="s">
        <v>57</v>
      </c>
      <c r="H100" s="43" t="s">
        <v>57</v>
      </c>
      <c r="I100" s="43" t="s">
        <v>57</v>
      </c>
      <c r="J100" s="64">
        <f t="shared" si="13"/>
        <v>3.2980614366278043</v>
      </c>
      <c r="K100" s="58">
        <f t="shared" si="12"/>
        <v>98.000842623694936</v>
      </c>
    </row>
    <row r="101" spans="2:11" ht="13.5" customHeight="1" x14ac:dyDescent="0.2">
      <c r="B101" s="100" t="s">
        <v>112</v>
      </c>
      <c r="C101" s="63">
        <f>764192513.4</f>
        <v>764192513.39999998</v>
      </c>
      <c r="D101" s="63">
        <f>1325305586.4</f>
        <v>1325305586.4000001</v>
      </c>
      <c r="E101" s="43" t="s">
        <v>57</v>
      </c>
      <c r="F101" s="43" t="s">
        <v>57</v>
      </c>
      <c r="G101" s="43" t="s">
        <v>57</v>
      </c>
      <c r="H101" s="43" t="s">
        <v>57</v>
      </c>
      <c r="I101" s="43" t="s">
        <v>57</v>
      </c>
      <c r="J101" s="64">
        <f t="shared" si="13"/>
        <v>33.126887688177455</v>
      </c>
      <c r="K101" s="58">
        <f t="shared" si="12"/>
        <v>173.42561765012971</v>
      </c>
    </row>
    <row r="102" spans="2:11" ht="22.5" x14ac:dyDescent="0.2">
      <c r="B102" s="99" t="s">
        <v>110</v>
      </c>
      <c r="C102" s="63">
        <f>214136379.81</f>
        <v>214136379.81</v>
      </c>
      <c r="D102" s="63">
        <f>51622610.59</f>
        <v>51622610.590000004</v>
      </c>
      <c r="E102" s="43" t="s">
        <v>57</v>
      </c>
      <c r="F102" s="43" t="s">
        <v>57</v>
      </c>
      <c r="G102" s="43" t="s">
        <v>57</v>
      </c>
      <c r="H102" s="43" t="s">
        <v>57</v>
      </c>
      <c r="I102" s="43" t="s">
        <v>57</v>
      </c>
      <c r="J102" s="64">
        <f t="shared" si="13"/>
        <v>1.2903412169495778</v>
      </c>
      <c r="K102" s="58">
        <f>IF(C102=0,"",100*D102/C102)</f>
        <v>24.107351882853333</v>
      </c>
    </row>
    <row r="103" spans="2:11" ht="7.5" customHeight="1" x14ac:dyDescent="0.2"/>
    <row r="104" spans="2:11" x14ac:dyDescent="0.2">
      <c r="B104" s="40" t="s">
        <v>16</v>
      </c>
      <c r="C104" s="67" t="s">
        <v>17</v>
      </c>
      <c r="D104" s="19" t="s">
        <v>1</v>
      </c>
    </row>
    <row r="105" spans="2:11" x14ac:dyDescent="0.2">
      <c r="B105" s="40"/>
      <c r="C105" s="107" t="s">
        <v>74</v>
      </c>
      <c r="D105" s="108"/>
    </row>
    <row r="106" spans="2:11" x14ac:dyDescent="0.2">
      <c r="B106" s="39">
        <v>1</v>
      </c>
      <c r="C106" s="42">
        <v>2</v>
      </c>
      <c r="D106" s="31">
        <v>3</v>
      </c>
    </row>
    <row r="107" spans="2:11" ht="37.5" customHeight="1" x14ac:dyDescent="0.2">
      <c r="B107" s="101" t="s">
        <v>111</v>
      </c>
      <c r="C107" s="47">
        <f>24730669246.85</f>
        <v>24730669246.849998</v>
      </c>
      <c r="D107" s="27">
        <f>0</f>
        <v>0</v>
      </c>
    </row>
    <row r="108" spans="2:11" ht="36" customHeight="1" x14ac:dyDescent="0.2">
      <c r="B108" s="102" t="s">
        <v>76</v>
      </c>
      <c r="C108" s="48">
        <f>401811829.69</f>
        <v>401811829.69</v>
      </c>
      <c r="D108" s="74">
        <f>0</f>
        <v>0</v>
      </c>
    </row>
    <row r="109" spans="2:11" ht="13.5" customHeight="1" x14ac:dyDescent="0.2">
      <c r="B109" s="102" t="s">
        <v>77</v>
      </c>
      <c r="C109" s="48">
        <f>8981052358.56</f>
        <v>8981052358.5599995</v>
      </c>
      <c r="D109" s="74">
        <f>0</f>
        <v>0</v>
      </c>
    </row>
    <row r="110" spans="2:11" ht="25.5" customHeight="1" x14ac:dyDescent="0.2">
      <c r="B110" s="102" t="s">
        <v>78</v>
      </c>
      <c r="C110" s="48">
        <f>0</f>
        <v>0</v>
      </c>
      <c r="D110" s="74">
        <f>0</f>
        <v>0</v>
      </c>
    </row>
    <row r="111" spans="2:11" ht="57.95" customHeight="1" x14ac:dyDescent="0.2">
      <c r="B111" s="102" t="s">
        <v>95</v>
      </c>
      <c r="C111" s="48">
        <f>4062295408.52</f>
        <v>4062295408.52</v>
      </c>
      <c r="D111" s="74">
        <f>0</f>
        <v>0</v>
      </c>
    </row>
    <row r="112" spans="2:11" ht="81.95" customHeight="1" x14ac:dyDescent="0.2">
      <c r="B112" s="102" t="s">
        <v>79</v>
      </c>
      <c r="C112" s="48">
        <f>7392580593.65</f>
        <v>7392580593.6499996</v>
      </c>
      <c r="D112" s="74">
        <f>0</f>
        <v>0</v>
      </c>
    </row>
    <row r="113" spans="2:4" ht="150.94999999999999" customHeight="1" x14ac:dyDescent="0.2">
      <c r="B113" s="97" t="s">
        <v>100</v>
      </c>
      <c r="C113" s="48">
        <f>3476221430.85</f>
        <v>3476221430.8499999</v>
      </c>
      <c r="D113" s="74">
        <f>0</f>
        <v>0</v>
      </c>
    </row>
    <row r="114" spans="2:4" ht="22.5" x14ac:dyDescent="0.2">
      <c r="B114" s="97" t="s">
        <v>94</v>
      </c>
      <c r="C114" s="48">
        <f>76896268.1</f>
        <v>76896268.099999994</v>
      </c>
      <c r="D114" s="74">
        <f>0</f>
        <v>0</v>
      </c>
    </row>
    <row r="115" spans="2:4" ht="22.5" x14ac:dyDescent="0.2">
      <c r="B115" s="97" t="s">
        <v>109</v>
      </c>
      <c r="C115" s="48">
        <f>339811357.48</f>
        <v>339811357.48000002</v>
      </c>
      <c r="D115" s="74">
        <f>0</f>
        <v>0</v>
      </c>
    </row>
    <row r="116" spans="2:4" ht="28.5" customHeight="1" x14ac:dyDescent="0.2"/>
    <row r="117" spans="2:4" x14ac:dyDescent="0.2">
      <c r="B117" s="65" t="s">
        <v>65</v>
      </c>
      <c r="C117" s="33">
        <f>3</f>
        <v>3</v>
      </c>
      <c r="D117" s="33" t="str">
        <f>IF(C117=1,"I Kwartał",IF(C117=2,"II Kwartały",IF(C117=3,"III Kwartały",IF(C117=4,"IV Kwartały",IF(C117="M1","Styczeń",IF(C117="M11","Listopad",IF(C117="M12","Grudzień","-")))))))</f>
        <v>III Kwartały</v>
      </c>
    </row>
    <row r="118" spans="2:4" x14ac:dyDescent="0.2">
      <c r="B118" s="65" t="s">
        <v>66</v>
      </c>
      <c r="C118" s="92">
        <f>2023</f>
        <v>2023</v>
      </c>
    </row>
    <row r="119" spans="2:4" x14ac:dyDescent="0.2">
      <c r="B119" s="65" t="s">
        <v>67</v>
      </c>
      <c r="C119" s="119" t="str">
        <f>"Nov 14 2023 12:00AM"</f>
        <v>Nov 14 2023 12:00AM</v>
      </c>
      <c r="D119" s="120"/>
    </row>
    <row r="120" spans="2:4" hidden="1" x14ac:dyDescent="0.2">
      <c r="B120" s="1" t="s">
        <v>107</v>
      </c>
      <c r="C120" s="1" t="str">
        <f>""</f>
        <v/>
      </c>
    </row>
  </sheetData>
  <mergeCells count="20">
    <mergeCell ref="C119:D119"/>
    <mergeCell ref="D59:D61"/>
    <mergeCell ref="E59:E61"/>
    <mergeCell ref="F60:F61"/>
    <mergeCell ref="F59:H59"/>
    <mergeCell ref="G60:H60"/>
    <mergeCell ref="E83:I85"/>
    <mergeCell ref="C59:C61"/>
    <mergeCell ref="C62:I62"/>
    <mergeCell ref="B3:B4"/>
    <mergeCell ref="C105:D105"/>
    <mergeCell ref="B59:B62"/>
    <mergeCell ref="C84:D84"/>
    <mergeCell ref="J4:L4"/>
    <mergeCell ref="I59:I61"/>
    <mergeCell ref="J62:K62"/>
    <mergeCell ref="C4:I4"/>
    <mergeCell ref="J84:K84"/>
    <mergeCell ref="J59:J61"/>
    <mergeCell ref="K59:K61"/>
  </mergeCells>
  <phoneticPr fontId="0" type="noConversion"/>
  <pageMargins left="0.19685039370078741" right="0.19685039370078741" top="0.35433070866141736" bottom="0.39370078740157483" header="0.31496062992125984" footer="0.19685039370078741"/>
  <pageSetup paperSize="9" scale="95" orientation="landscape" useFirstPageNumber="1" r:id="rId1"/>
  <headerFooter alignWithMargins="0">
    <oddFooter>&amp;RStrona &amp;P z &amp;N</oddFooter>
  </headerFooter>
  <rowBreaks count="4" manualBreakCount="4">
    <brk id="21" max="16383" man="1"/>
    <brk id="56" max="16383" man="1"/>
    <brk id="80" max="16383" man="1"/>
    <brk id="10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2022-10-25T14:00:45Z</cp:lastPrinted>
  <dcterms:created xsi:type="dcterms:W3CDTF">2001-05-17T08:58:03Z</dcterms:created>
  <dcterms:modified xsi:type="dcterms:W3CDTF">2023-11-27T09:45:51Z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