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Grupy\FZ\FM\Sprawozdanie FM\04_sprawozdanie za 2025\sprawozdanie 2025 PL\"/>
    </mc:Choice>
  </mc:AlternateContent>
  <xr:revisionPtr revIDLastSave="0" documentId="13_ncr:1_{93E208C4-C3F0-468C-B3B5-87E08BA7DAF7}" xr6:coauthVersionLast="47" xr6:coauthVersionMax="47" xr10:uidLastSave="{00000000-0000-0000-0000-000000000000}"/>
  <bookViews>
    <workbookView xWindow="-108" yWindow="-108" windowWidth="23256" windowHeight="12576" activeTab="1" xr2:uid="{00000000-000D-0000-FFFF-FFFF00000000}"/>
  </bookViews>
  <sheets>
    <sheet name="Introduction" sheetId="3" r:id="rId1"/>
    <sheet name="Annual Report" sheetId="19" r:id="rId2"/>
    <sheet name="Overview Planned Investments" sheetId="18" r:id="rId3"/>
    <sheet name="Dropdown Menu" sheetId="6" r:id="rId4"/>
  </sheets>
  <definedNames>
    <definedName name="_xlnm._FilterDatabase" localSheetId="1" hidden="1">'Annual Report'!$A$6:$AT$6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6" i="19" l="1"/>
  <c r="W35" i="19"/>
  <c r="W34" i="19"/>
  <c r="W33" i="19"/>
  <c r="W32" i="19"/>
  <c r="W31" i="19"/>
  <c r="W30" i="19"/>
  <c r="W29" i="19"/>
  <c r="W28" i="19"/>
  <c r="W27" i="19"/>
  <c r="W26" i="19"/>
  <c r="W25" i="19"/>
  <c r="W24" i="19"/>
  <c r="W23" i="19"/>
  <c r="W22" i="19"/>
  <c r="W21" i="19"/>
  <c r="W20" i="19"/>
  <c r="W19" i="19"/>
  <c r="W18" i="19"/>
  <c r="W17" i="19"/>
  <c r="W16" i="19"/>
  <c r="W15" i="19"/>
  <c r="W14" i="19"/>
  <c r="W13" i="19"/>
  <c r="W12" i="19"/>
  <c r="W11" i="19"/>
  <c r="W10" i="19"/>
  <c r="W9" i="19"/>
  <c r="W8" i="19"/>
  <c r="W7" i="19"/>
  <c r="W6" i="19"/>
  <c r="U35" i="19"/>
  <c r="U34" i="19"/>
  <c r="U33" i="19"/>
  <c r="U32" i="19"/>
  <c r="U31" i="19"/>
  <c r="U30" i="19"/>
  <c r="U29" i="19"/>
  <c r="U28" i="19"/>
  <c r="U27" i="19"/>
  <c r="U26" i="19"/>
  <c r="U25" i="19"/>
  <c r="U24" i="19"/>
  <c r="U23" i="19"/>
  <c r="U22" i="19"/>
  <c r="U21" i="19"/>
  <c r="U20" i="19"/>
  <c r="U19" i="19"/>
  <c r="U18" i="19"/>
  <c r="U17" i="19"/>
  <c r="U16" i="19"/>
  <c r="U15" i="19"/>
  <c r="U14" i="19"/>
  <c r="U13" i="19"/>
  <c r="U11" i="19"/>
  <c r="Z8" i="19"/>
  <c r="U12" i="19"/>
  <c r="U10" i="19"/>
  <c r="U9" i="19"/>
  <c r="U8" i="19"/>
  <c r="U7" i="19"/>
  <c r="U6" i="19"/>
  <c r="R24" i="19"/>
  <c r="S18" i="19"/>
  <c r="S16" i="19"/>
  <c r="Z31" i="19"/>
  <c r="Z26" i="19"/>
  <c r="Z24" i="19"/>
  <c r="Z20" i="19"/>
  <c r="Z13" i="19"/>
  <c r="Z12" i="19"/>
  <c r="Z9" i="19"/>
  <c r="Z7" i="19"/>
  <c r="Z6" i="19"/>
  <c r="R14" i="19"/>
  <c r="S12" i="19"/>
  <c r="R11" i="19"/>
  <c r="R9" i="19"/>
  <c r="R8" i="19"/>
  <c r="P35" i="19"/>
  <c r="P34" i="19"/>
  <c r="R7" i="19"/>
  <c r="O31" i="19"/>
  <c r="O30" i="19"/>
  <c r="O29" i="19"/>
  <c r="O28" i="19"/>
  <c r="P20" i="19"/>
  <c r="P26" i="19"/>
  <c r="O25" i="19"/>
  <c r="O24" i="19"/>
  <c r="O23" i="19"/>
  <c r="O22" i="19"/>
  <c r="O21" i="19"/>
  <c r="O19" i="19"/>
  <c r="O18" i="19"/>
  <c r="O15" i="19"/>
  <c r="O17" i="19"/>
  <c r="O14" i="19"/>
  <c r="O13" i="19"/>
  <c r="O12" i="19"/>
  <c r="O11" i="19"/>
  <c r="P10" i="19"/>
  <c r="O10" i="19" s="1"/>
  <c r="O9" i="19"/>
  <c r="O8" i="19"/>
  <c r="O7" i="19"/>
  <c r="O33" i="19"/>
  <c r="AD13" i="19"/>
  <c r="AD21" i="19"/>
  <c r="AD22" i="19"/>
  <c r="AD23" i="19"/>
  <c r="AD24" i="19"/>
  <c r="AD26" i="19"/>
  <c r="AD28" i="19"/>
  <c r="AD31" i="19"/>
  <c r="AD33" i="19"/>
  <c r="AD34" i="19"/>
  <c r="AD12" i="19"/>
  <c r="AD11" i="19"/>
  <c r="AD10" i="19"/>
  <c r="AD9" i="19"/>
  <c r="O6" i="19"/>
  <c r="AD6" i="19"/>
  <c r="R5" i="6"/>
  <c r="R6" i="6"/>
  <c r="R7" i="6"/>
  <c r="R8" i="6"/>
  <c r="R9" i="6"/>
  <c r="R10" i="6"/>
  <c r="R11" i="6"/>
  <c r="R12" i="6"/>
  <c r="R13" i="6"/>
  <c r="R14" i="6"/>
  <c r="R15" i="6"/>
  <c r="R16" i="6"/>
  <c r="R17" i="6"/>
  <c r="R18" i="6"/>
  <c r="R19" i="6"/>
  <c r="R20" i="6"/>
  <c r="R21" i="6"/>
  <c r="R22" i="6"/>
  <c r="R23" i="6"/>
  <c r="R24" i="6"/>
  <c r="R25" i="6"/>
  <c r="R26" i="6"/>
  <c r="R27" i="6"/>
  <c r="R28" i="6"/>
  <c r="R4" i="6"/>
  <c r="AI30" i="19" l="1"/>
  <c r="AJ30" i="19"/>
  <c r="AK30" i="19"/>
  <c r="AL30" i="19"/>
  <c r="AI31" i="19"/>
  <c r="AJ31" i="19"/>
  <c r="AK31" i="19"/>
  <c r="AL31" i="19"/>
  <c r="AI32" i="19"/>
  <c r="AJ32" i="19"/>
  <c r="AK32" i="19"/>
  <c r="AL32" i="19"/>
  <c r="AI33" i="19"/>
  <c r="AJ33" i="19"/>
  <c r="AK33" i="19"/>
  <c r="AL33" i="19"/>
  <c r="AI34" i="19"/>
  <c r="AJ34" i="19"/>
  <c r="AK34" i="19"/>
  <c r="AL34" i="19"/>
  <c r="AI35" i="19"/>
  <c r="AJ35" i="19"/>
  <c r="AK35" i="19"/>
  <c r="AL35" i="19"/>
  <c r="AJ20" i="19"/>
  <c r="AJ6" i="19"/>
  <c r="AK6" i="19"/>
  <c r="AL6" i="19"/>
  <c r="G12" i="3"/>
  <c r="C24" i="3"/>
  <c r="AK7" i="19" l="1"/>
  <c r="AL7" i="19"/>
  <c r="AK8" i="19"/>
  <c r="AL8" i="19"/>
  <c r="AK9" i="19"/>
  <c r="AL9" i="19"/>
  <c r="AK10" i="19"/>
  <c r="AL10" i="19"/>
  <c r="AK11" i="19"/>
  <c r="AL11" i="19"/>
  <c r="AK12" i="19"/>
  <c r="AL12" i="19"/>
  <c r="AK13" i="19"/>
  <c r="AL13" i="19"/>
  <c r="AK14" i="19"/>
  <c r="AL14" i="19"/>
  <c r="AK15" i="19"/>
  <c r="AL15" i="19"/>
  <c r="AK16" i="19"/>
  <c r="AL16" i="19"/>
  <c r="AK17" i="19"/>
  <c r="AL17" i="19"/>
  <c r="AK18" i="19"/>
  <c r="AL18" i="19"/>
  <c r="AK19" i="19"/>
  <c r="AL19" i="19"/>
  <c r="AK20" i="19"/>
  <c r="AL20" i="19"/>
  <c r="AK21" i="19"/>
  <c r="AL21" i="19"/>
  <c r="AK22" i="19"/>
  <c r="AL22" i="19"/>
  <c r="AK23" i="19"/>
  <c r="AL23" i="19"/>
  <c r="AK24" i="19"/>
  <c r="AL24" i="19"/>
  <c r="AK25" i="19"/>
  <c r="AL25" i="19"/>
  <c r="AK26" i="19"/>
  <c r="AL26" i="19"/>
  <c r="AK27" i="19"/>
  <c r="AL27" i="19"/>
  <c r="AK28" i="19"/>
  <c r="AL28" i="19"/>
  <c r="AK29" i="19"/>
  <c r="AL29" i="19"/>
  <c r="AI18" i="19"/>
  <c r="AJ18" i="19"/>
  <c r="AI19" i="19"/>
  <c r="AJ19" i="19"/>
  <c r="AI20" i="19"/>
  <c r="AI21" i="19"/>
  <c r="AJ21" i="19"/>
  <c r="AI22" i="19"/>
  <c r="AJ22" i="19"/>
  <c r="AI23" i="19"/>
  <c r="AJ23" i="19"/>
  <c r="AI24" i="19"/>
  <c r="AJ24" i="19"/>
  <c r="AI25" i="19"/>
  <c r="AJ25" i="19"/>
  <c r="E24" i="3"/>
  <c r="D24" i="3"/>
  <c r="H13" i="3"/>
  <c r="F13" i="3" a="1"/>
  <c r="F13" i="3" s="1"/>
  <c r="G15" i="3" a="1"/>
  <c r="G15" i="3" s="1"/>
  <c r="G13" i="3" a="1"/>
  <c r="G13" i="3" s="1"/>
  <c r="F15" i="3" a="1"/>
  <c r="F15" i="3" s="1"/>
  <c r="H15" i="3"/>
  <c r="I13" i="3"/>
  <c r="I15" i="3"/>
  <c r="F14" i="3"/>
  <c r="F12" i="3"/>
  <c r="E15" i="3" l="1"/>
  <c r="E13" i="3"/>
  <c r="G14" i="3"/>
  <c r="I14" i="3"/>
  <c r="I12" i="3"/>
  <c r="H12" i="3"/>
  <c r="H14" i="3"/>
  <c r="AJ7" i="19"/>
  <c r="AJ8" i="19"/>
  <c r="AJ9" i="19"/>
  <c r="AJ10" i="19"/>
  <c r="AJ11" i="19"/>
  <c r="AJ12" i="19"/>
  <c r="AJ13" i="19"/>
  <c r="AJ14" i="19"/>
  <c r="AJ15" i="19"/>
  <c r="AJ16" i="19"/>
  <c r="AJ17" i="19"/>
  <c r="AJ26" i="19"/>
  <c r="AJ27" i="19"/>
  <c r="AJ28" i="19"/>
  <c r="AJ29" i="19"/>
  <c r="AI7" i="19"/>
  <c r="AI8" i="19"/>
  <c r="AI9" i="19"/>
  <c r="AI10" i="19"/>
  <c r="AI11" i="19"/>
  <c r="AI12" i="19"/>
  <c r="AI13" i="19"/>
  <c r="AI14" i="19"/>
  <c r="AI15" i="19"/>
  <c r="AI16" i="19"/>
  <c r="AI17" i="19"/>
  <c r="AI26" i="19"/>
  <c r="AI27" i="19"/>
  <c r="AI28" i="19"/>
  <c r="AI29" i="19"/>
  <c r="E14" i="3" l="1"/>
  <c r="E12"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<sst xmlns="http://schemas.openxmlformats.org/spreadsheetml/2006/main" count="990" uniqueCount="363">
  <si>
    <t>Modernisation Fund Annual Report Template</t>
  </si>
  <si>
    <t>Introduction to the Excel-tool "Modernisation_Fund_Annual_Report_Template.xlsx"</t>
  </si>
  <si>
    <t xml:space="preserve">
The "Modernisation_Fund_Annual_Report_Template.xlsx" is a resource drafted by the European Commission, Directorate-General for Climate Action, designed to streamline the data submission process for the annual reports of beneficiary Member States. </t>
  </si>
  <si>
    <t>Article 13 of  the Commission Implementing Regulation (EU) 2020/1001 provides that beneficiary Member States shall monitor the implementation of investments financed from the Modernisation Fund and submit to the Commission their annual report for the preceding year containing information specified in Annex II of the Implementing Regulation (EU) 2020/1001. The annual report shall be be accompanied by an overview of the investments in respect of which the beneficiary Member State intends to submit investment proposals in the next two calendar years, with an outlook until 2030, as well as by updated information on investments covered by any previous overview. The relevant stakeholders should be consulted on the draft overview of the planned investments.</t>
  </si>
  <si>
    <r>
      <rPr>
        <u/>
        <sz val="11"/>
        <color rgb="FF000000"/>
        <rFont val="Calibri"/>
        <family val="2"/>
        <scheme val="minor"/>
      </rPr>
      <t xml:space="preserve">This template for annual reports provides 3 worksheets:
</t>
    </r>
    <r>
      <rPr>
        <sz val="11"/>
        <color rgb="FF000000"/>
        <rFont val="Calibri"/>
        <family val="2"/>
        <scheme val="minor"/>
      </rPr>
      <t xml:space="preserve">
1. The worksheet labeled</t>
    </r>
    <r>
      <rPr>
        <i/>
        <sz val="11"/>
        <color rgb="FF000000"/>
        <rFont val="Calibri"/>
        <family val="2"/>
        <scheme val="minor"/>
      </rPr>
      <t xml:space="preserve"> </t>
    </r>
    <r>
      <rPr>
        <b/>
        <i/>
        <sz val="11"/>
        <color rgb="FF000000"/>
        <rFont val="Calibri"/>
        <family val="2"/>
        <scheme val="minor"/>
      </rPr>
      <t>'Introduction'</t>
    </r>
    <r>
      <rPr>
        <sz val="11"/>
        <color rgb="FF000000"/>
        <rFont val="Calibri"/>
        <family val="2"/>
        <scheme val="minor"/>
      </rPr>
      <t xml:space="preserve"> offers an explanation of the template. It contains a dropdown menu that allows you to configure the template according to the beneficary member state and the corresponding year of the annual report. It also includes an overview of the approved investments.
</t>
    </r>
  </si>
  <si>
    <r>
      <t>2. In the worksheet named</t>
    </r>
    <r>
      <rPr>
        <b/>
        <i/>
        <sz val="11"/>
        <color rgb="FF000000"/>
        <rFont val="Calibri"/>
        <family val="2"/>
        <scheme val="minor"/>
      </rPr>
      <t xml:space="preserve"> 'Annual Report'</t>
    </r>
    <r>
      <rPr>
        <sz val="11"/>
        <color rgb="FF000000"/>
        <rFont val="Calibri"/>
        <family val="2"/>
        <scheme val="minor"/>
      </rPr>
      <t xml:space="preserve"> you will find a request for information according to Annex II of the Implementing Regulation (EU) 2020/1001. The requested information is categorised into 6 categories. Please follow the instructions to fill this in.
</t>
    </r>
  </si>
  <si>
    <r>
      <rPr>
        <sz val="11"/>
        <color rgb="FF000000"/>
        <rFont val="Calibri"/>
        <family val="2"/>
        <scheme val="minor"/>
      </rPr>
      <t xml:space="preserve">3. The worksheet titled </t>
    </r>
    <r>
      <rPr>
        <b/>
        <i/>
        <sz val="11"/>
        <color rgb="FF000000"/>
        <rFont val="Calibri"/>
        <family val="2"/>
        <scheme val="minor"/>
      </rPr>
      <t>'Overview Planned Investments'</t>
    </r>
    <r>
      <rPr>
        <sz val="11"/>
        <color rgb="FF000000"/>
        <rFont val="Calibri"/>
        <family val="2"/>
        <scheme val="minor"/>
      </rPr>
      <t xml:space="preserve"> requires supplementary details according to </t>
    </r>
    <r>
      <rPr>
        <b/>
        <sz val="11"/>
        <color rgb="FF000000"/>
        <rFont val="Calibri"/>
        <family val="2"/>
        <scheme val="minor"/>
      </rPr>
      <t>Annex III of the Implementing Regulation (EU) 2020/1001</t>
    </r>
    <r>
      <rPr>
        <sz val="11"/>
        <color rgb="FF000000"/>
        <rFont val="Calibri"/>
        <family val="2"/>
        <scheme val="minor"/>
      </rPr>
      <t xml:space="preserve"> and </t>
    </r>
    <r>
      <rPr>
        <i/>
        <sz val="11"/>
        <color rgb="FF000000"/>
        <rFont val="Calibri"/>
        <family val="2"/>
        <scheme val="minor"/>
      </rPr>
      <t>'shall be accompanied by an overview of the investments in respect of which the beneficiary Member State intends to submit investment proposals in the next two calendar years, with an outlook until 2030, as well as by updated information on investments covered by any previous overview.'</t>
    </r>
  </si>
  <si>
    <t>OVERVIEW OF APPROVED INVESTMENTS</t>
  </si>
  <si>
    <t>Investments supported
 (ongoing+completed+partially discontinued+fully discontinued)</t>
  </si>
  <si>
    <t>Ongoing investments</t>
  </si>
  <si>
    <t>Completed investments (or entered into operations)</t>
  </si>
  <si>
    <t>Partially discontinued investments</t>
  </si>
  <si>
    <t>Discontinued investments</t>
  </si>
  <si>
    <t>Priority investments</t>
  </si>
  <si>
    <t>Number</t>
  </si>
  <si>
    <t>Total confirmed/recommended support from the Modernisation Fund for the investment in EUR</t>
  </si>
  <si>
    <t>Non-priority investments</t>
  </si>
  <si>
    <t xml:space="preserve">We welcome any improvement suggestions for the tool from the beneficiary Member States. Please feel free to contact via the following email addresses:                                                                                        </t>
  </si>
  <si>
    <t xml:space="preserve">INSTRUCTIONS:
In order to guarantee that all beneficiary Member States provide comparable reporting, the following methodological instructions should be followed:
- Make sure to list all the investments approved by the EIB/Investment Committee until the cut-off date and include the subsequent disbursements in the separate dedicated column. 
- Please indicate in column J whether an investments was discontinued, partlially discontinued or modified. Subsequently, please adapt all the other inputs and especially the indicators covered by the 'Contribution to Green Deal Objectives'. For discontinued investments, the indicators (including budget) should be set to zero. 
- Location of the investment (for schemes, provide locations of all investments funded) - please provide the more precise location, not just the Member State.
- Total confirmed/recommended support from the Modernisation Fund for the investment in EUR refers to the Modernisation Fund support covered by a Disbursement Decision, that EIB disbursed to the beneficiery MS by the cut-off date.
- GHG emissions saved (expected cumulative amount by the end of the investment lifetime) - please make sure that the estimation refers to investment lifetime and not annual emissions saved, as you present with the MF applications.     
- Column Abatement costs in EUR/tCO2 (if applicable given the nature of the investment) - by 31 December of the year preceding report submission) should be calculated both at the level of total investment costs but also at the level of planned MF support. The calculation formulas should be shown in the cells.
- Column Abatement costs in EUR/tCO2 (if applicable given the nature of the investment) - expected cumulative amount by the end of the investment lifetime, should be calculated both at the level of total investment costs but also at the level of planned MF support. The calculation formula should be shown in the cells. </t>
  </si>
  <si>
    <t>CLIMA-MODFUND@ec.europa.eu</t>
  </si>
  <si>
    <t xml:space="preserve">copying EIB (European Investment Bank): </t>
  </si>
  <si>
    <t xml:space="preserve">Modernisation-fund@eib.org  </t>
  </si>
  <si>
    <t xml:space="preserve">Year of Annual Report: </t>
  </si>
  <si>
    <t xml:space="preserve">Beneficary Member State (Dropdown Menu): </t>
  </si>
  <si>
    <t>Poland</t>
  </si>
  <si>
    <t>should we already add the new bMS?</t>
  </si>
  <si>
    <t>Share of priority investements compared to all investment</t>
  </si>
  <si>
    <t>Article 10(1), 
third subparagraph – (2%) 
(min 80% priority investments)</t>
  </si>
  <si>
    <t>Article 10(1), 
fourth subparagraph -
(2.5%)
(min 90% priority investments)</t>
  </si>
  <si>
    <t>Article 10d(4) -
(Transfers)
(min 80% priority investment)</t>
  </si>
  <si>
    <t xml:space="preserve">Ratios </t>
  </si>
  <si>
    <t xml:space="preserve">  </t>
  </si>
  <si>
    <r>
      <rPr>
        <sz val="16"/>
        <color theme="1"/>
        <rFont val="Calibri"/>
        <family val="2"/>
        <scheme val="minor"/>
      </rPr>
      <t>General information</t>
    </r>
    <r>
      <rPr>
        <sz val="11"/>
        <color theme="1"/>
        <rFont val="Calibri"/>
        <family val="2"/>
        <charset val="238"/>
        <scheme val="minor"/>
      </rPr>
      <t xml:space="preserve"> </t>
    </r>
  </si>
  <si>
    <t>Financial information</t>
  </si>
  <si>
    <t xml:space="preserve">Contribution to Green Deal Objectives </t>
  </si>
  <si>
    <t>Implementation</t>
  </si>
  <si>
    <t>Reference of the investment (as indicated in the applicable disbursement decision; for schemes, indicate the reference indicated in the first disbursement decision)</t>
  </si>
  <si>
    <t>Reference of the subsequent disbursements (if any)</t>
  </si>
  <si>
    <t>Name of the investment (as indicated in the relevant disbursement decision)</t>
  </si>
  <si>
    <t>Priority or non-riority</t>
  </si>
  <si>
    <t>Type of investment</t>
  </si>
  <si>
    <r>
      <t xml:space="preserve">Please indicate if the investment was discontinued; or if not whether the investment was modified compared to the initial application </t>
    </r>
    <r>
      <rPr>
        <sz val="12"/>
        <color rgb="FFFF0000"/>
        <rFont val="Calibri"/>
        <family val="2"/>
        <charset val="238"/>
        <scheme val="minor"/>
      </rPr>
      <t>(czy została przerwana)</t>
    </r>
  </si>
  <si>
    <r>
      <t xml:space="preserve">Implementation status (only for ongoing investments, even if partially discontinued or modified) </t>
    </r>
    <r>
      <rPr>
        <sz val="12"/>
        <color rgb="FFFF0000"/>
        <rFont val="Calibri"/>
        <family val="2"/>
        <charset val="238"/>
        <scheme val="minor"/>
      </rPr>
      <t>status realizacji</t>
    </r>
  </si>
  <si>
    <r>
      <t xml:space="preserve">Implementation modality (for all investments) </t>
    </r>
    <r>
      <rPr>
        <sz val="12"/>
        <color rgb="FFFF0000"/>
        <rFont val="Calibri"/>
        <family val="2"/>
        <charset val="238"/>
        <scheme val="minor"/>
      </rPr>
      <t>rodzaj grantu</t>
    </r>
  </si>
  <si>
    <r>
      <t xml:space="preserve">State aid regime (for all investments) </t>
    </r>
    <r>
      <rPr>
        <sz val="12"/>
        <color rgb="FFFF0000"/>
        <rFont val="Calibri"/>
        <family val="2"/>
        <charset val="238"/>
        <scheme val="minor"/>
      </rPr>
      <t>pomoc publiczna</t>
    </r>
  </si>
  <si>
    <t>Link to national legal basis for the scheme (not applicable to projects)</t>
  </si>
  <si>
    <t xml:space="preserve">Final beneficiary of the support (in case of schemes, please list the final beneficiaries that have been awarded support to date) </t>
  </si>
  <si>
    <t>Type of end beneficiary</t>
  </si>
  <si>
    <t>Location of the investment (for schemes, provide locations of all investments funded)</t>
  </si>
  <si>
    <r>
      <t xml:space="preserve">Total investment costs/total volume of the scheme/project </t>
    </r>
    <r>
      <rPr>
        <sz val="12"/>
        <color rgb="FF00B050"/>
        <rFont val="Calibri"/>
        <family val="2"/>
        <scheme val="minor"/>
      </rPr>
      <t xml:space="preserve">with VAT </t>
    </r>
    <r>
      <rPr>
        <sz val="12"/>
        <rFont val="Calibri"/>
        <family val="2"/>
        <scheme val="minor"/>
      </rPr>
      <t>in EUR</t>
    </r>
  </si>
  <si>
    <r>
      <t xml:space="preserve">Total investment costs/total volume of the scheme/project </t>
    </r>
    <r>
      <rPr>
        <sz val="12"/>
        <color theme="5"/>
        <rFont val="Calibri"/>
        <family val="2"/>
        <scheme val="minor"/>
      </rPr>
      <t>without VAT</t>
    </r>
    <r>
      <rPr>
        <sz val="12"/>
        <color theme="1"/>
        <rFont val="Calibri"/>
        <family val="2"/>
        <scheme val="minor"/>
      </rPr>
      <t xml:space="preserve"> in EUR</t>
    </r>
  </si>
  <si>
    <t>Total planned support from the Modernisation Fund for the investment in EUR</t>
  </si>
  <si>
    <t>Total amount covered by a legal commitment between the beneficiary Member State/managing authority and the project proponent/final recipients of Modernisation Fund support (cut-off date: 31 December of the year preceding report submission) (for schemes: aggregated figure) in EUR</t>
  </si>
  <si>
    <t>Total amount paid by the beneficiary Member State/scheme managing authority to the project proponent/final recipients of Modernisation support (cut-off date: 31 December of the year preceding report submission) (for schemes: aggregated figure) in EUR</t>
  </si>
  <si>
    <r>
      <t xml:space="preserve">An assessment of the added value of the investment in terms of energy efficiency and modernisation of the energy system, including information on the following (for schemes: aggregated figures). 
</t>
    </r>
    <r>
      <rPr>
        <b/>
        <sz val="12"/>
        <color theme="1"/>
        <rFont val="Calibri"/>
        <family val="2"/>
        <scheme val="minor"/>
      </rPr>
      <t xml:space="preserve">Please provide explanations where needed. </t>
    </r>
  </si>
  <si>
    <t>Was the investment included in a preceding overview of planned investments in accordance with Article 13(2), and if so, which one. 
Format: [Yes/No, Year]</t>
  </si>
  <si>
    <t>Milestones achieved since the previous annual report; (for schemes, this can include, for instance, information about calls for proposals, project selection, agreements concluded with the final recipients of Modernisation Fund support)</t>
  </si>
  <si>
    <t>For investments other than schemes: expected entry into operation [Date: DD/MM/20YY]</t>
  </si>
  <si>
    <t>Identified or expected delays in implementation</t>
  </si>
  <si>
    <t xml:space="preserve">
For investments other than schemes: 
identified or expected changes in eligible costs, technology applied or results of an investment</t>
  </si>
  <si>
    <t xml:space="preserve">Description of and links to audits undertaken at national level in accordance with Article 16(4) of the Implementing Regulation 2020/1001 </t>
  </si>
  <si>
    <t xml:space="preserve">
For large-scale projects and large-scale schemes, when reporting on the project or scheme for the first time: overview of the consultation carried out.</t>
  </si>
  <si>
    <t>Explanation of how the investment complies with the 'Do-no-significant-harm' criteria, in accordance with Article 10f of the Directive 2003/87/EC (only applicable for investments approved after 1 January 2025)</t>
  </si>
  <si>
    <t>Date of the legal commitment [Date: DD/MM/20YY]</t>
  </si>
  <si>
    <t>Date of the first payment [Date: DD/MM/20YY]</t>
  </si>
  <si>
    <t>Date of the last payment [Date: DD/MM/20YY]</t>
  </si>
  <si>
    <t>Energy saved in MWh</t>
  </si>
  <si>
    <t xml:space="preserve"> Greenhouse gas emissions saved in tCO2 </t>
  </si>
  <si>
    <t xml:space="preserve"> Additional renewable energy capacity installed, if applicable, in MW</t>
  </si>
  <si>
    <t xml:space="preserve"> Abatement costs in EUR/tCO2 (if applicable given the nature of the investment), calculated as Total investment costs/total volume of the scheme/project with VAT over GHG emissions saved</t>
  </si>
  <si>
    <t xml:space="preserve"> Abatement costs in EUR/tCO2 (if applicable given the nature of the investment), calculated as Total planned support from the Modernisation Fund for the investment over GHG emissions saved</t>
  </si>
  <si>
    <t>Article 10(1), 
third subpara
graph – (2%)</t>
  </si>
  <si>
    <t>Article 10(1), 
fourth subparagraph -
(2.5%)</t>
  </si>
  <si>
    <t>Article 10d(4) -
(Transfers)</t>
  </si>
  <si>
    <t xml:space="preserve">	
by 31 December of the year preceding report submission</t>
  </si>
  <si>
    <t xml:space="preserve">	
expected cumulative amount by the end of the investment lifetime</t>
  </si>
  <si>
    <t>Relative energy savings - expected at the end of the investment lifetime (%) - if applicable</t>
  </si>
  <si>
    <t>MF 2021-1 PL 0-004</t>
  </si>
  <si>
    <t>Renovation with a guarantee of savings</t>
  </si>
  <si>
    <t>Priority</t>
  </si>
  <si>
    <t>Scheme</t>
  </si>
  <si>
    <t>Unchanged compared to initial application</t>
  </si>
  <si>
    <t>Ongoing: construction phase</t>
  </si>
  <si>
    <t>Partial grants (less than 50%) of total invesments costs</t>
  </si>
  <si>
    <t>No State aid</t>
  </si>
  <si>
    <t>https://www.gov.pl/web/funduszmodernizacyjny/podstawy-prawne Program Priorytetowe w ramach środków z Funduszu Modernizacyjnego - Fundusz Modernizacyjny - Portal Gov.pl (www.gov.pl)</t>
  </si>
  <si>
    <t>Final beneficiaries up to date:
- Polczynskie Przedsiebiorstwo Komunalne sp. z o.o.
- Gmina Łomianki
- Gmina Miasto Szczecin
-  Gminia i Miasto Odolanów 
- Aqua Cedry Sp. z o.o.
- Miasto Łódź</t>
  </si>
  <si>
    <t>Podmioty mieszane lub publiczno-prywatne - odbiorcy energii - przemysł (Mix or public and private entities - energy consumers - industry)</t>
  </si>
  <si>
    <t>2023-07-21
2025-04-30
2025-04-30
2025-04-29
2025-04-30
2025-04-30</t>
  </si>
  <si>
    <t>n/a</t>
  </si>
  <si>
    <t>no</t>
  </si>
  <si>
    <t>calls for proposals: 2
project proposals: 36
agreements concluded: 6</t>
  </si>
  <si>
    <t>not applicable (only scheme)</t>
  </si>
  <si>
    <t>No delays 
Extend call for proposals 
Extendet  contracting phase.</t>
  </si>
  <si>
    <t>Audit not yet conducted/audit pending</t>
  </si>
  <si>
    <t>not applicable</t>
  </si>
  <si>
    <t>MF 2021-1 PL 0-003</t>
  </si>
  <si>
    <t>MF 2022-2 PL 0-001</t>
  </si>
  <si>
    <t>Smart energy infrastructure</t>
  </si>
  <si>
    <t>Large-scale scheme</t>
  </si>
  <si>
    <t>100% grants</t>
  </si>
  <si>
    <t>Final beneficiaries up to date:
- Stoen Operator; 
- Energa Operator; 
- PGE Dystrybucja;
- TAURON Dystrybucja S.A.;
- ENEA Operator Sp. z o.o.</t>
  </si>
  <si>
    <t>Podmiot publiczny - dystrybucja i sieci (Public entity - distribution and networks)</t>
  </si>
  <si>
    <t>27.07.2023
04.09.2023
13.10.2023
10.07.2024
28.08.2024
09.09.2024
09.09.2024
09.12.2024
23.12.2025
19.12.2025</t>
  </si>
  <si>
    <t>calls for proposals: 3
project proposals: 12
agreements concluded: 11</t>
  </si>
  <si>
    <t>MF 2021-1 PL 0-006</t>
  </si>
  <si>
    <t>MF 2023-2 PL 0-003</t>
  </si>
  <si>
    <t>Development of the power grid for future electric car charging stations</t>
  </si>
  <si>
    <t>Partial grants (between 50% and 80%) of total investments costs</t>
  </si>
  <si>
    <t>Final beneficiaries up to date:
- ENEA Operator; 
- STOEN Operator; 
- ENERGA Operator; 
- PGE Dystrybucja;
- TAURON Dystrybucja S.A.</t>
  </si>
  <si>
    <t>29.12.2022
28.12.2022
29.03.2023
29.03.2023
01.06.2023
11.10.2023
28.11.2024
13.03.2025
01.04.2025
08.04.2025
30.07.2025
30.07.2025
29.10.2025
30.09.2025</t>
  </si>
  <si>
    <t>calls for proposals: 4
project proposals: 352
agreements concluded: 14</t>
  </si>
  <si>
    <t>MF 2021-2 PL 0-002</t>
  </si>
  <si>
    <t xml:space="preserve"> MF 2023-2 PL 0-002</t>
  </si>
  <si>
    <t>Cogeneration for Energy and Industry</t>
  </si>
  <si>
    <t>Combination between grants and financial instruments</t>
  </si>
  <si>
    <t>GBER</t>
  </si>
  <si>
    <t>Final beneficiaries up to date:
- Velvet Care Sp.z o.o.;
- QEMETICA Soda Polska Spółka Akcyjna</t>
  </si>
  <si>
    <t>Podmiot prywatny - odbiorca energii - przemysł (Private entity - energy consumer - industry)</t>
  </si>
  <si>
    <t>17.08.2023
08.10.2024</t>
  </si>
  <si>
    <t>n/s</t>
  </si>
  <si>
    <t>calls for proposals: 2
project proposals: 13
agreements concluded: 2</t>
  </si>
  <si>
    <t>MF 2023-2 PL 0-001</t>
  </si>
  <si>
    <t>Cogeneration for Energy and Industry - sectors in energy trasition</t>
  </si>
  <si>
    <t>Ongoing: tendering phase</t>
  </si>
  <si>
    <t xml:space="preserve">Tartak Napiwoda Sp. z o.o.
</t>
  </si>
  <si>
    <t>01.09.2025
01.09.2025</t>
  </si>
  <si>
    <t>calls for proposals: 1
project proposals: 142
agreements concluded: 2</t>
  </si>
  <si>
    <t>call for proposals/ application selection criteria / beneficiary statement</t>
  </si>
  <si>
    <t>MF 2021-2 PL 0-003</t>
  </si>
  <si>
    <t xml:space="preserve">Cogeneration For District heating </t>
  </si>
  <si>
    <t>Final beneficiaries up to date:
- Miejska Energetyka Cieplna w Koszalinie sp. z o.o.;
- Miejskie Przedsiebiorstwo Energetyki Cieplnej sp. z o.o.</t>
  </si>
  <si>
    <t>Podmiot publiczny - producent energii (Public entity - energy producer)</t>
  </si>
  <si>
    <t>05.12.2023
08.12.2023
09.12.2023
29.12.2023</t>
  </si>
  <si>
    <t>calls for proposals: 2
project proposals: 69
agreements concluded: 4</t>
  </si>
  <si>
    <t>MF 2023-1 PL 0-002</t>
  </si>
  <si>
    <t>MF 2025-1 PL 0-002</t>
  </si>
  <si>
    <t>Cogeneration For District heating - part II</t>
  </si>
  <si>
    <t>Final beneficiaries up to date:
- Przedsiebiorstwo Energetyki Cieplnej w Suwalkach sp. z o.o.</t>
  </si>
  <si>
    <t>29.12.2023
29.12.2023</t>
  </si>
  <si>
    <t>calls for proposals: 1
project proposals: 8
agreements concluded: 2</t>
  </si>
  <si>
    <t>MF 2021-2 PL 0-005</t>
  </si>
  <si>
    <t>Digitisation of heating networks</t>
  </si>
  <si>
    <t>Final beneficiaries up to date:
- Okręgowe Przedsiębiorstwo Energetyki Cieplnej Sp. z. o. o. w Puławach
- Przedsiębiorstwo Energetyki Cieplnej Sp. z o.o. w Bełchatowie
- Przedsiębiorstwo Energetyki Cieplnej "PEC" Sp. z o.o. (Kwidzyn)
 - Veolia Energia Warszawa S.A.
- Lubelskie Przedsiębiorstwo Energetyki Cieplnej S.A.
- U&amp;R CALOR Sp. z o.o.
- CALOR Energetyka Cieplna Sp. z o.o.
- Przedsiębiorstwo Energetyki Cieplnej - GLIWICE sp. z o. o.
 - Przedsiębiorstwo Energetyki Cieplnej w Gnieźnie Sp. z o.o.
 - U&amp;R CALOR Sp. z o.o.
 - Elektrociepłownia Ciechanów Sp. z o. o.
- Veolia Energia Poznań S.A.
 - Miejska Gospodarka Komunalna Sp. z o. o.
- Szczecińska Energetyka Cieplna Spółka z ograniczoną odpowiedzialnością
- Przedsiębiorstwo Energetyki Cieplnej w Gnieźnie Sp. z o. o.
 - Gdańskie Przedsiębiorstwo Energetyki Cieplnej Sp. z o. o.
SEC Zgorzelec Sp. z o.o.
- Przedsiębiorstwo Energetyki Cieplnej w Ełku Sp. z o.o.
 - Przedsiębiorstwo Energetyczne w Siedlcach Sp. z o.o.
- Przedsiębiorstwo Energetyki Cieplnej Sp. z o.o. w Hajnówce
- Fortum Power and Heat Polska Sp. z o.o.
 - Miejskie Przedsiębiorstwo Energetyki Cieplnej Sp. z o.o.
 - Miejskie Sieci Cieplne w Zduńskiej Woli Sp. z o.o.
 - Miejskie Przedsiębiorstwo Energetyki Cieplnej Sp. z o.o. w Nowym Sączu
- U&amp;R CALOR Sp. z o.o.
 - SEC Chojnice Sp. z o.o.
 - Miejskie Przedsiębiorstwo Energetyki Cieplnej Sp. z o. o. w Ostródzie
 - Zakład Usług Technicznych Sp. z o.o.
- Miejskie Przedsiębiorstwo Energetyki Cieplnej Sp. z o. o. w Ostródzie</t>
  </si>
  <si>
    <t>from 
22.11.2023
to
30.12.2025</t>
  </si>
  <si>
    <t>calls for proposals: 3
project proposals: 104
agreements concluded: 49</t>
  </si>
  <si>
    <t>MF 2021-2 PL 0-004</t>
  </si>
  <si>
    <t xml:space="preserve"> MF 2022-1 PL 0-001 </t>
  </si>
  <si>
    <t>The use of alternative fuels for energy purposes</t>
  </si>
  <si>
    <t>Final beneficiaries up to date: https://www.gov.pl/web/funduszmodernizacyjny/zawarte-umowy</t>
  </si>
  <si>
    <t>Podmiot prywatny - producent energii (Private entity - energy producer)</t>
  </si>
  <si>
    <t>19.12.2022
21.12.2022
19.12.2022</t>
  </si>
  <si>
    <t>calls for proposals: 1
project proposals: 20
agreements concluded: 6</t>
  </si>
  <si>
    <t xml:space="preserve">MF 2022-1 PL 0-007 </t>
  </si>
  <si>
    <t>MF 2024-1 PL 0-003</t>
  </si>
  <si>
    <t>from 
23.03.2023
to
14.12.2023</t>
  </si>
  <si>
    <t>calls for proposals: 1
project proposals: 48
agreements concluded: 18</t>
  </si>
  <si>
    <t>MF 2023-1 PL 0-001</t>
  </si>
  <si>
    <t>MF 2024-1 PL 0-002
and 
MF 2024-2 PL 0-010</t>
  </si>
  <si>
    <t>27/12/2023
17.07.2024
25.11.2025</t>
  </si>
  <si>
    <t>calls for proposals: 1
project proposals: 52
agreements concluded: 6</t>
  </si>
  <si>
    <t>MF 2021-2 PL 0-001</t>
  </si>
  <si>
    <t>Support for the use of storages and other devices for network stabilization - a scheme for DSOs</t>
  </si>
  <si>
    <t>Final beneficiaries up to date:
- PGE Dystrybucja 
- Stoen Operator Sp. z o.o. 
-Tauron Dystrybucja S.A.
- Enea Operator Sp.z o. o.</t>
  </si>
  <si>
    <t>07.12.2023
27.11.2024
22.04.2025
15.05.2025</t>
  </si>
  <si>
    <t>calls for proposals: 2
project proposals: 9
agreements concluded: 4</t>
  </si>
  <si>
    <t>MF 2022-1 PL 0-004</t>
  </si>
  <si>
    <t>MF 2024-2 PL 0-009</t>
  </si>
  <si>
    <t>Energy-intensive Industry – RES</t>
  </si>
  <si>
    <t>Financial instruments - loans</t>
  </si>
  <si>
    <t>Final beneficiaries up to date:
- Enea Ciepło Spółka z ograniczoną odpowiedzialnością;
- Elektrociepłownia "Zielona Góra" Spółka Akcyjna
- PGE Energia Ciepła Spółka Akcyjna</t>
  </si>
  <si>
    <t>17.02.2024
14.11.2024
26.03.2025</t>
  </si>
  <si>
    <t>calls for proposals: 2
project proposals: 7
agreements concluded: 3</t>
  </si>
  <si>
    <t>MF 2022-1 PL 0-003</t>
  </si>
  <si>
    <t>MF 2024-2 PL 0-008</t>
  </si>
  <si>
    <t>Energy-intensive industry - improving energy efficiency</t>
  </si>
  <si>
    <t>Final beneficiaries up to date: 
- Südzucker Polska Spółka Akcyjna</t>
  </si>
  <si>
    <t>calls for proposals: 2
project proposals: 1
agreements concluded: 1</t>
  </si>
  <si>
    <t>MF 2022-2 PL 0-003</t>
  </si>
  <si>
    <t>MF 2024-1 PL 0-001</t>
  </si>
  <si>
    <t>Energy for Rural Areas</t>
  </si>
  <si>
    <t>from 
30.06.2023
to
31.12.2025</t>
  </si>
  <si>
    <t>calls for proposals: 1
project proposals: -
agreements concluded: 126</t>
  </si>
  <si>
    <t>MF 2022-2 PL 0-002</t>
  </si>
  <si>
    <t>Cogeneration for counties</t>
  </si>
  <si>
    <t>Final beneficiaries up to date: 
- Sanockie Przedsiębiorstwo Gospodarki Komunalnej Sp. z o.o.
- Celsium serwis Sp. z o.o.
- Veolia Północ Sp. z o.o.</t>
  </si>
  <si>
    <t>30.12.2024
30.12.2025
06.05.2025
08.12.2025</t>
  </si>
  <si>
    <t>calls for proposals: 2
project proposals: 108
agreements concluded: 4</t>
  </si>
  <si>
    <t>MF 2022-2 PL 0-004</t>
  </si>
  <si>
    <t>MF 2024-2 PL 0-007</t>
  </si>
  <si>
    <t>Development of cogeneration based on municipal biogas</t>
  </si>
  <si>
    <t>Final beneficiaries up to date: 
- Miedzygminny Kompleks Unieszkodliwiania Odpadow ProNatura sp. z o.o.
 - EKO DOLINA Spółka Z o.o
 - Centrum Zielonej Energii Subregionu Zachodniego w Rybniku
 - Przedsiębiorstwo Usługowe Hetman Sp. z o.o.</t>
  </si>
  <si>
    <t xml:space="preserve">28.12.2023
28.12.2023
23.10.2025
23.10.2025
16.12.2025
16.12.2025
</t>
  </si>
  <si>
    <t>calls for proposals: 1
project proposals: 55
agreements concluded: 8</t>
  </si>
  <si>
    <t>MF 2022-2 PL 1-001</t>
  </si>
  <si>
    <t>MF 2025-2 PL 0-001</t>
  </si>
  <si>
    <t>RES - heat sources for district heating</t>
  </si>
  <si>
    <t>Non-priority</t>
  </si>
  <si>
    <t>Final beneficiaries up to date: 
- Przedsiębiorstwo Energetyki Cieplnej - Gliwice Sp. z o.o.
 - Miejskie Przedsiębiorstwo Infrastruktury "KOS-EKO" Sp. z o.o
 - Dalkia Polska Energia S.A.</t>
  </si>
  <si>
    <t xml:space="preserve">25.04.2024
17.05.2024
30.12.2025
30.12.2025
30.12.2025
</t>
  </si>
  <si>
    <t>YES (applicant's statement and documents confirming payments)</t>
  </si>
  <si>
    <t>calls for proposals: 1
project proposals: 70
agreements concluded: 5</t>
  </si>
  <si>
    <t>MF 2021-2 PL 1-001</t>
  </si>
  <si>
    <t xml:space="preserve"> MF 2022-2 PL 1-002</t>
  </si>
  <si>
    <t>My Heating</t>
  </si>
  <si>
    <t>The final recipients of the aid will be natural persons. The program is addressed to owners or co-owners (end recipients) of new single-family buildings. Beneficiaries that have been awarded support:
https://mojecieplo.gov.pl/wyniki-naboru/</t>
  </si>
  <si>
    <t>Podmiot prywatny - odbiorca energii - budynki (Private entity - energy consumer - buildings)</t>
  </si>
  <si>
    <t>from 
2022 
to 
2025</t>
  </si>
  <si>
    <t>calls for proposals: 1
project proposals: 12954
agreements concluded: 36658</t>
  </si>
  <si>
    <t>MF 2024-1 PL 0-005</t>
  </si>
  <si>
    <t xml:space="preserve">Support for the construction or expansion of a publicly accessible charging station for heavy transport   </t>
  </si>
  <si>
    <t>Beneficiaries of the programme: entrepreneurs within the meaning of the Act of 6 March 2018 – Entrepreneurs' Law, who have their registered office or branch in the territory of the Republic of Poland.</t>
  </si>
  <si>
    <t>Inne (Other)</t>
  </si>
  <si>
    <t>calls for proposals: 1
project proposals: 352
agreements concluded: -</t>
  </si>
  <si>
    <t>MF 2024-1 PL 0-007</t>
  </si>
  <si>
    <t xml:space="preserve">My Wind Electric System </t>
  </si>
  <si>
    <t>List of concluded contracts (Final Beneficiaries):
https://www.gov.pl/web/funduszmodernizacyjny/zawarte-umowy</t>
  </si>
  <si>
    <t>from 
2024 
to 
2025</t>
  </si>
  <si>
    <t>calls for proposals: 1
project proposals: 2794
agreements concluded: 1269</t>
  </si>
  <si>
    <t>MF 2024-2 PL 0-003</t>
  </si>
  <si>
    <t>calls for proposals: 1
project proposals: 248
agreements concluded: -</t>
  </si>
  <si>
    <t>MF 2024-2 PL 0-002</t>
  </si>
  <si>
    <t xml:space="preserve">Electricity storage facilities and related infrastructure to improve the stability of the Polish electricity grid. </t>
  </si>
  <si>
    <t>TCTF</t>
  </si>
  <si>
    <t xml:space="preserve">Beneficiaries of the programme: entrepreneurs within the meaning of the Act of 6 March 2018 – Entrepreneurs' Law, </t>
  </si>
  <si>
    <t>Podmiot prywatny - odbiorca energii - inne (Private entity - energy consumer - other)</t>
  </si>
  <si>
    <t>30.12.2025
31.12.2025</t>
  </si>
  <si>
    <t>calls for proposals: 1
project proposals: 634
agreements concluded: 180</t>
  </si>
  <si>
    <t>MF 2024-2 PL 0-001</t>
  </si>
  <si>
    <t xml:space="preserve">Construction/expansion of power grids for the needs of publicly available high-power charging stations </t>
  </si>
  <si>
    <t>Beneficiaries of the programme: distribution system operators (DSOs) – electricity distribution system operators within the meaning of Article 3(25) of the Act of 10 April 1997 – Energy Law</t>
  </si>
  <si>
    <t>calls for proposals: 1
project proposals: 6
agreements concluded: -</t>
  </si>
  <si>
    <t>MF 2024-2 PL 0-005</t>
  </si>
  <si>
    <t xml:space="preserve">Support for the purchase or leasing of zero-emission vehicles of N2 and N3 categories </t>
  </si>
  <si>
    <t>calls for proposals: 1
project proposals: 53
agreements concluded: -</t>
  </si>
  <si>
    <t>MF 2025-1 PL 0-001</t>
  </si>
  <si>
    <t>Clear Air</t>
  </si>
  <si>
    <t>The beneficiaries of the CAS are individuals (natural persons) who are owners/co-owners of single-family buildings/separate residential premises in single-family buildings.
Under the scheme the division into three groups of beneficiaries exists and the amount of support they are entitled to depends on the income of the beneficiary or income per member of the beneficiary's household. The highest support is granted to the group at greatest risk of energy poverty, which is directly in line with art. 10d (2) of the ETS Directive ("support for low-income households to address energy poverty and to renovate their heating systems").
https://www.gov.pl/web/funduszmodernizacyjny/zawarte-umowy</t>
  </si>
  <si>
    <t>from 2025</t>
  </si>
  <si>
    <t>yes; 2024</t>
  </si>
  <si>
    <t>calls for proposals: 1
project proposals: 49811
agreements concluded: 32430</t>
  </si>
  <si>
    <t>https://www.gov.pl/web/funduszmodernizacyjny/konsultacje-spoleczne-dotyczace-nowych-obszarow-wsparcia-z-funduszu-modernizacyjnego-na-lata-2024-2025-z-perspektywa-do-2030-r</t>
  </si>
  <si>
    <t>MF 2025-1 PL 0-003</t>
  </si>
  <si>
    <t>High efficiency biogas cogeneration from biomass, including municipal waste</t>
  </si>
  <si>
    <t>Ongoing: confirmed but not started</t>
  </si>
  <si>
    <t xml:space="preserve">The beneficiaries of the “High efficiency biogas cogeneration from biomass, including municipal waste” scheme are entrepreneurs within the meaning of the Act of 6 March 2018 on Entrepreneurs carrying out economic activities (Journal of Laws of 2024, item 236), with the exception of the beneficiaries specified in point 7.4. of the "Energy for Rural Areas" scheme*:
</t>
  </si>
  <si>
    <t>calls for proposals: in progress
project proposals: -
agreements concluded: -</t>
  </si>
  <si>
    <t>Smart Energy Infrastructure 2.0</t>
  </si>
  <si>
    <t>Electricity Distribution System Operators (DSO)</t>
  </si>
  <si>
    <t>Podmiot prywatny - dystrybucja i sieci (Private entity - distribution and networks)</t>
  </si>
  <si>
    <t>yes; 2025</t>
  </si>
  <si>
    <t>calls for proposals: 3
project proposals: 2
agreements concluded: 0</t>
  </si>
  <si>
    <t>https://www.gov.pl/web/funduszmodernizacyjny/konsultacje-spoleczne-dotyczace-nowych-obszarow-wsparcia-z-funduszu-modernizacyjnego-na-lata-2025-2026-z-perspektywa-do-2030-r</t>
  </si>
  <si>
    <t>MF 2025-2 PL 0-003</t>
  </si>
  <si>
    <t>Energy-intensive Industry 2.0 – improving energy efficiency</t>
  </si>
  <si>
    <t>The scheme in question is dedicated to enterprises within the meaning of the Act of 6 March 2018 Entrepreneurs' Law having legal title to an installation covered by the greenhouse gas emission allowance trading scheme within the meaning of the Act of June 12, 2015 on the greenhouse gas emission allowance trading scheme, resulting from the ownership right, perpetual usufruct right or permanent management, which has not been liquidated or not bankruptcy proceedings are pending against.</t>
  </si>
  <si>
    <t>calls for proposals: 1
project proposals: 4
agreements concluded: -</t>
  </si>
  <si>
    <t>MF 2025-2 PL 1-002</t>
  </si>
  <si>
    <t>Improvement of energy security through the use of biomethane</t>
  </si>
  <si>
    <t>Beneficiaries of the programme: entrepreneurs within the meaning of the Act of 6 March 2018 – Entrepreneurs' Law</t>
  </si>
  <si>
    <t>1. Overview of investments planned in the next two calendar years and, where possible, the outlook until 2030</t>
  </si>
  <si>
    <t>2. Information about the outcome of stakeholder consultation on the draft overview of investments under Article 13(5)</t>
  </si>
  <si>
    <t>Name and reference of the investment</t>
  </si>
  <si>
    <t>1.1. Name of the project proponent or the scheme managing authority</t>
  </si>
  <si>
    <t>1.2. Specific location of the investment or the geographical scope of the scheme (location name, country name)</t>
  </si>
  <si>
    <t>1.3. Estimate of the total cost of the investment</t>
  </si>
  <si>
    <t>1.5. Status of any State aid assessment concerning the investment, where applicable (completed, pending,not applicable)</t>
  </si>
  <si>
    <t>1.6. Estimate of the financing from the Modernisation Fund and outline of the intended financing proposals</t>
  </si>
  <si>
    <t>1.7. Information on the relation between the investment and the integrated National Energy and Climate Plan (NECP), in particular with regard to the national objectives, targets, policies and measures and the investment needed.</t>
  </si>
  <si>
    <t>1.8. Information on whether the investment has been awarded a seal or any quality label foreseen by the Union law after having been evaluated positively in a directly managed funding programmes</t>
  </si>
  <si>
    <t>2.1 Dates of consultation</t>
  </si>
  <si>
    <t xml:space="preserve">2.1 Format of consultation </t>
  </si>
  <si>
    <t>2.1 Types of stakeholders consulted</t>
  </si>
  <si>
    <t>2.1 Number of replies received</t>
  </si>
  <si>
    <t>2.1. Summary of the replies</t>
  </si>
  <si>
    <t>1.4 Summary description of the investment</t>
  </si>
  <si>
    <t>XX</t>
  </si>
  <si>
    <t>bMS</t>
  </si>
  <si>
    <t>Year</t>
  </si>
  <si>
    <t>Column1</t>
  </si>
  <si>
    <t>Column2</t>
  </si>
  <si>
    <t>-</t>
  </si>
  <si>
    <t>Fully discontinued</t>
  </si>
  <si>
    <t>Public entity - energy consumer - industry</t>
  </si>
  <si>
    <t>Podmiot publiczny - odbiorca energii - przemysł</t>
  </si>
  <si>
    <t>Bulgaria</t>
  </si>
  <si>
    <t>Partially discontinued</t>
  </si>
  <si>
    <t>CEEAG</t>
  </si>
  <si>
    <t>Public entity - energy consumer - services</t>
  </si>
  <si>
    <t>Podmiot publiczny - odbiorca energii - usługi</t>
  </si>
  <si>
    <t>Czechia</t>
  </si>
  <si>
    <t>Modified</t>
  </si>
  <si>
    <t>CISAF</t>
  </si>
  <si>
    <t>Public entity - energy consumer - buildings</t>
  </si>
  <si>
    <t>Podmiot publiczny - odbiorca energii - budynki</t>
  </si>
  <si>
    <t>Estonia</t>
  </si>
  <si>
    <t>Completed (for schemes)</t>
  </si>
  <si>
    <t>Public entity - energy consumer - other</t>
  </si>
  <si>
    <t>Podmiot publiczny - odbiorca energii - inne</t>
  </si>
  <si>
    <t>Greece</t>
  </si>
  <si>
    <t>Entered into operation (for investments other than schemes)</t>
  </si>
  <si>
    <t>Financial instruments - equity</t>
  </si>
  <si>
    <t>Public entity - energy producer</t>
  </si>
  <si>
    <t>Podmiot publiczny - producent energii</t>
  </si>
  <si>
    <t>Croatia</t>
  </si>
  <si>
    <t>Not applicable (investment fully discontinued)</t>
  </si>
  <si>
    <t>Financial instruments - financial guarantees</t>
  </si>
  <si>
    <t>De minimis</t>
  </si>
  <si>
    <t>Public entity - distribution and networks</t>
  </si>
  <si>
    <t>Podmiot publiczny - dystrybucja i sieci</t>
  </si>
  <si>
    <t>Latvia</t>
  </si>
  <si>
    <t>Other</t>
  </si>
  <si>
    <t>Private entity - energy consumer - industry</t>
  </si>
  <si>
    <t>Podmiot prywatny - odbiorca energii - przemysł</t>
  </si>
  <si>
    <t>Lithuania</t>
  </si>
  <si>
    <t>Private entity - energy consumer - services</t>
  </si>
  <si>
    <t>Podmiot prywatny - odbiorca energii - usługi</t>
  </si>
  <si>
    <t>Hungary</t>
  </si>
  <si>
    <t xml:space="preserve">W toku: potwierdzono, ale nie rozpoczęto </t>
  </si>
  <si>
    <t>Private entity - energy consumer - buildings</t>
  </si>
  <si>
    <t>Podmiot prywatny - odbiorca energii - budynki</t>
  </si>
  <si>
    <t xml:space="preserve">W toku: faza przetargowa </t>
  </si>
  <si>
    <t>Private entity - energy consumer - other</t>
  </si>
  <si>
    <t>Podmiot prywatny - odbiorca energii - inne</t>
  </si>
  <si>
    <t>Portugal</t>
  </si>
  <si>
    <t xml:space="preserve">W toku: faza budowy </t>
  </si>
  <si>
    <t>Private entity - energy producer</t>
  </si>
  <si>
    <t>Podmiot prywatny - producent energii</t>
  </si>
  <si>
    <t>Romania</t>
  </si>
  <si>
    <t xml:space="preserve">Zakończono (dla projektów) </t>
  </si>
  <si>
    <t>Private entity - distribution and networks</t>
  </si>
  <si>
    <t>Podmiot prywatny - dystrybucja i sieci</t>
  </si>
  <si>
    <t>Slovenia</t>
  </si>
  <si>
    <t xml:space="preserve">Oddano do eksploatacji (dla inwestycji innych niż projekty) </t>
  </si>
  <si>
    <t>Public-private partnerships - energy consumer - industry</t>
  </si>
  <si>
    <t>Partnerstwa publiczno-prywatne - odbiorca energii - przemysł</t>
  </si>
  <si>
    <t>Slovakia</t>
  </si>
  <si>
    <t>Nie dotyczy (inwestycja całkowicie wstrzymana)</t>
  </si>
  <si>
    <t>Public-private partnerships - energy consumer - buildings or residential</t>
  </si>
  <si>
    <t>Partnerstwa publiczno-prywatne - odbiorca energii - budynki lub budynki mieszkalne</t>
  </si>
  <si>
    <t>Public-private partnerships - energy consumer - services</t>
  </si>
  <si>
    <t>Partnerstwa publiczno-prywatne - odbiorca energii - usługi</t>
  </si>
  <si>
    <t>Public-private partnerships - energy consumer - other</t>
  </si>
  <si>
    <t>Partnerstwa publiczno-prywatne - odbiorca energii - inne</t>
  </si>
  <si>
    <t>Public-private partnerships - energy producer</t>
  </si>
  <si>
    <t>Partnerstwa publiczno-prywatne - producent energii</t>
  </si>
  <si>
    <t>Public-private partnerships - distribution and networks</t>
  </si>
  <si>
    <t>Partnerstwa publiczno-prywatne - dystrybucja i sieci</t>
  </si>
  <si>
    <t>Mix or public and private entities - energy consumers - industry</t>
  </si>
  <si>
    <t>Podmioty mieszane lub publiczno-prywatne - odbiorcy energii - przemysł</t>
  </si>
  <si>
    <t>Mix or public and private entities - energy consumers - services</t>
  </si>
  <si>
    <t>Podmioty mieszane lub publiczno-prywatne - odbiorcy energii - usługi</t>
  </si>
  <si>
    <t>Mix or public and private entities - energy consumers - buildings</t>
  </si>
  <si>
    <t>Podmioty mieszane lub publiczno-prywatne - odbiorcy energii - budynki</t>
  </si>
  <si>
    <t>Mix or public and private entities - energy consumers - other</t>
  </si>
  <si>
    <t>Podmioty mieszane lub Podmioty publiczne i prywatne – odbiorcy energii – inne</t>
  </si>
  <si>
    <t>Mix or public and private entities - energy producers</t>
  </si>
  <si>
    <t>Podmioty mieszane – producenci energii</t>
  </si>
  <si>
    <t>Mix or public and private entities - distribution and networks</t>
  </si>
  <si>
    <t>Podmioty mieszane – dystrybucja i sieci</t>
  </si>
  <si>
    <t>Inne</t>
  </si>
  <si>
    <t>Any amounts recovered by the beneficiary Member State from the project proponent or the scheme managing authority, and the dates of recovery, in EUR; date</t>
  </si>
  <si>
    <r>
      <t xml:space="preserve">Confirmation of co-financing from private sources (both for priority investments if applicable but especially for non-priority investments) in EUR </t>
    </r>
    <r>
      <rPr>
        <sz val="12"/>
        <color rgb="FFFF0000"/>
        <rFont val="Calibri"/>
        <family val="2"/>
        <charset val="238"/>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</si>
</sst>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00"/>
    <numFmt numFmtId="165" formatCode="0.00\ &quot;MWh&quot;"/>
    <numFmt numFmtId="166" formatCode="0.00\ &quot;tCO2&quot;"/>
    <numFmt numFmtId="167" formatCode="0.00\ &quot;€/tCO2&quot;"/>
    <numFmt numFmtId="168" formatCode="0.00\ &quot;MW&quot;\ "/>
    <numFmt numFmtId="169" formatCode="#,##0.00\ &quot;zł&quot;"/>
  </numFmts>
  <fonts count="51">
    <font>
      <sz val="11"/>
      <color theme="1"/>
      <name val="Calibri"/>
      <family val="2"/>
      <charset val="238"/>
      <scheme val="minor"/>
    </font>
    <font>
      <sz val="11"/>
      <color theme="1"/>
      <name val="Calibri"/>
      <family val="2"/>
      <scheme val="minor"/>
    </font>
    <font>
      <sz val="11"/>
      <color theme="1"/>
      <name val="Calibri"/>
      <family val="2"/>
      <scheme val="minor"/>
    </font>
    <font>
      <sz val="11"/>
      <name val="Calibri"/>
      <family val="2"/>
      <scheme val="minor"/>
    </font>
    <font>
      <u/>
      <sz val="11"/>
      <color theme="10"/>
      <name val="Calibri"/>
      <family val="2"/>
      <scheme val="minor"/>
    </font>
    <font>
      <sz val="11"/>
      <name val="Arial"/>
      <family val="2"/>
    </font>
    <font>
      <b/>
      <sz val="14"/>
      <name val="Calibri"/>
      <family val="2"/>
      <charset val="238"/>
      <scheme val="minor"/>
    </font>
    <font>
      <b/>
      <sz val="11"/>
      <color theme="1"/>
      <name val="Calibri"/>
      <family val="2"/>
      <scheme val="minor"/>
    </font>
    <font>
      <b/>
      <sz val="16"/>
      <color theme="0"/>
      <name val="Calibri"/>
      <family val="2"/>
      <charset val="238"/>
      <scheme val="minor"/>
    </font>
    <font>
      <sz val="12"/>
      <color theme="1"/>
      <name val="Calibri"/>
      <family val="2"/>
      <charset val="238"/>
      <scheme val="minor"/>
    </font>
    <font>
      <sz val="12"/>
      <color theme="1"/>
      <name val="Calibri"/>
      <family val="2"/>
      <scheme val="minor"/>
    </font>
    <font>
      <b/>
      <sz val="18"/>
      <color theme="1"/>
      <name val="Calibri"/>
      <family val="2"/>
      <scheme val="minor"/>
    </font>
    <font>
      <b/>
      <u/>
      <sz val="14"/>
      <name val="Calibri"/>
      <family val="2"/>
      <scheme val="minor"/>
    </font>
    <font>
      <b/>
      <sz val="11"/>
      <color rgb="FF404040"/>
      <name val="Calibri"/>
      <family val="2"/>
      <charset val="238"/>
      <scheme val="minor"/>
    </font>
    <font>
      <sz val="11"/>
      <color rgb="FF404040"/>
      <name val="Calibri"/>
      <family val="2"/>
      <charset val="238"/>
      <scheme val="minor"/>
    </font>
    <font>
      <b/>
      <sz val="11"/>
      <name val="Calibri"/>
      <family val="2"/>
      <charset val="238"/>
      <scheme val="minor"/>
    </font>
    <font>
      <sz val="8"/>
      <name val="Calibri"/>
      <family val="2"/>
      <charset val="238"/>
      <scheme val="minor"/>
    </font>
    <font>
      <u/>
      <sz val="11"/>
      <color theme="1"/>
      <name val="Calibri"/>
      <family val="2"/>
      <scheme val="minor"/>
    </font>
    <font>
      <u/>
      <sz val="11"/>
      <name val="Calibri"/>
      <family val="2"/>
      <scheme val="minor"/>
    </font>
    <font>
      <sz val="12"/>
      <color rgb="FF00B050"/>
      <name val="Calibri"/>
      <family val="2"/>
      <scheme val="minor"/>
    </font>
    <font>
      <sz val="12"/>
      <color theme="5"/>
      <name val="Calibri"/>
      <family val="2"/>
      <scheme val="minor"/>
    </font>
    <font>
      <sz val="11"/>
      <name val="Calibri"/>
      <family val="2"/>
    </font>
    <font>
      <b/>
      <sz val="16"/>
      <color theme="0"/>
      <name val="Calibri"/>
      <family val="2"/>
      <scheme val="minor"/>
    </font>
    <font>
      <b/>
      <sz val="22"/>
      <color theme="1"/>
      <name val="Calibri"/>
      <family val="2"/>
      <scheme val="minor"/>
    </font>
    <font>
      <sz val="12"/>
      <name val="Calibri"/>
      <family val="2"/>
      <scheme val="minor"/>
    </font>
    <font>
      <b/>
      <sz val="12"/>
      <color theme="1"/>
      <name val="Calibri"/>
      <family val="2"/>
      <scheme val="minor"/>
    </font>
    <font>
      <u/>
      <sz val="11"/>
      <color rgb="FF000000"/>
      <name val="Calibri"/>
      <family val="2"/>
      <scheme val="minor"/>
    </font>
    <font>
      <sz val="11"/>
      <color rgb="FF000000"/>
      <name val="Calibri"/>
      <family val="2"/>
      <scheme val="minor"/>
    </font>
    <font>
      <i/>
      <sz val="11"/>
      <color rgb="FF000000"/>
      <name val="Calibri"/>
      <family val="2"/>
      <scheme val="minor"/>
    </font>
    <font>
      <b/>
      <i/>
      <sz val="11"/>
      <color rgb="FF000000"/>
      <name val="Calibri"/>
      <family val="2"/>
      <scheme val="minor"/>
    </font>
    <font>
      <b/>
      <sz val="11"/>
      <color rgb="FF000000"/>
      <name val="Calibri"/>
      <family val="2"/>
      <scheme val="minor"/>
    </font>
    <font>
      <sz val="16"/>
      <color theme="1"/>
      <name val="Calibri"/>
      <family val="2"/>
      <scheme val="minor"/>
    </font>
    <font>
      <b/>
      <sz val="16"/>
      <color rgb="FF000000"/>
      <name val="Calibri"/>
      <family val="2"/>
      <scheme val="minor"/>
    </font>
    <font>
      <b/>
      <sz val="16"/>
      <color theme="1"/>
      <name val="Calibri"/>
      <family val="2"/>
      <scheme val="minor"/>
    </font>
    <font>
      <b/>
      <i/>
      <sz val="10"/>
      <color rgb="FF333333"/>
      <name val="Calibri"/>
      <family val="2"/>
      <scheme val="minor"/>
    </font>
    <font>
      <u/>
      <sz val="11"/>
      <color rgb="FFFF0000"/>
      <name val="Calibri"/>
      <family val="2"/>
      <scheme val="minor"/>
    </font>
    <font>
      <b/>
      <sz val="18"/>
      <color rgb="FFFF0000"/>
      <name val="Calibri"/>
      <family val="2"/>
      <scheme val="minor"/>
    </font>
    <font>
      <sz val="11"/>
      <color theme="1"/>
      <name val="Calibri"/>
      <family val="2"/>
      <charset val="238"/>
      <scheme val="minor"/>
    </font>
    <font>
      <b/>
      <sz val="11"/>
      <color rgb="FF333333"/>
      <name val="Calibri"/>
      <family val="2"/>
      <scheme val="minor"/>
    </font>
    <font>
      <sz val="11"/>
      <color theme="9" tint="-0.499984740745262"/>
      <name val="Calibri"/>
      <family val="2"/>
      <scheme val="minor"/>
    </font>
    <font>
      <sz val="12"/>
      <color theme="9" tint="-0.499984740745262"/>
      <name val="Calibri"/>
      <family val="2"/>
      <scheme val="minor"/>
    </font>
    <font>
      <sz val="12"/>
      <color rgb="FFFF0000"/>
      <name val="Calibri"/>
      <family val="2"/>
      <charset val="238"/>
      <scheme val="minor"/>
    </font>
    <font>
      <u/>
      <sz val="11"/>
      <color theme="1"/>
      <name val="Calibri"/>
      <family val="2"/>
      <charset val="238"/>
      <scheme val="minor"/>
    </font>
    <font>
      <sz val="12"/>
      <name val="Calibri"/>
      <family val="2"/>
      <charset val="238"/>
      <scheme val="minor"/>
    </font>
    <font>
      <sz val="11"/>
      <color rgb="FF3C4043"/>
      <name val="Google Sans"/>
    </font>
    <font>
      <sz val="12"/>
      <color theme="9" tint="-0.499984740745262"/>
      <name val="Calibri"/>
      <family val="2"/>
      <charset val="238"/>
      <scheme val="minor"/>
    </font>
    <font>
      <u/>
      <sz val="11"/>
      <color theme="10"/>
      <name val="Calibri"/>
      <family val="2"/>
      <charset val="238"/>
      <scheme val="minor"/>
    </font>
    <font>
      <b/>
      <sz val="11"/>
      <color rgb="FF0070C0"/>
      <name val="Calibri"/>
      <family val="2"/>
      <charset val="238"/>
      <scheme val="minor"/>
    </font>
    <font>
      <sz val="11"/>
      <name val="Calibri"/>
      <family val="2"/>
      <charset val="238"/>
      <scheme val="minor"/>
    </font>
    <font>
      <sz val="11"/>
      <name val="Aptos Narrow"/>
      <family val="2"/>
    </font>
    <font>
      <b/>
      <sz val="11"/>
      <color theme="0"/>
      <name val="Calibri"/>
      <family val="2"/>
      <charset val="238"/>
      <scheme val="minor"/>
    </font>
  </fonts>
  <fills count="12">
    <fill>
      <patternFill patternType="none"/>
    </fill>
    <fill>
      <patternFill patternType="gray125"/>
    </fill>
    <fill>
      <patternFill patternType="solid">
        <fgColor rgb="FFD4E1E2"/>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2"/>
        <bgColor indexed="64"/>
      </patternFill>
    </fill>
    <fill>
      <patternFill patternType="solid">
        <fgColor theme="8" tint="-0.499984740745262"/>
        <bgColor indexed="64"/>
      </patternFill>
    </fill>
    <fill>
      <patternFill patternType="solid">
        <fgColor theme="0" tint="-0.249977111117893"/>
        <bgColor indexed="64"/>
      </patternFill>
    </fill>
    <fill>
      <patternFill patternType="solid">
        <fgColor theme="0"/>
        <bgColor indexed="64"/>
      </patternFill>
    </fill>
    <fill>
      <patternFill patternType="solid">
        <fgColor theme="9" tint="0.79998168889431442"/>
        <bgColor indexed="64"/>
      </patternFill>
    </fill>
  </fills>
  <borders count="35">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double">
        <color indexed="64"/>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
    <xf numFmtId="0" fontId="0" fillId="0" borderId="0"/>
    <xf numFmtId="0" fontId="2" fillId="0" borderId="0"/>
    <xf numFmtId="0" fontId="4" fillId="0" borderId="0" applyNumberFormat="0" applyFill="0" applyBorder="0" applyAlignment="0" applyProtection="0"/>
    <xf numFmtId="0" fontId="21" fillId="0" borderId="0"/>
    <xf numFmtId="9" fontId="37" fillId="0" borderId="0" applyFont="0" applyFill="0" applyBorder="0" applyAlignment="0" applyProtection="0"/>
  </cellStyleXfs>
  <cellXfs count="232">
    <xf numFmtId="0" fontId="0" fillId="0" borderId="0" xfId="0"/>
    <xf numFmtId="0" fontId="2" fillId="0" borderId="0" xfId="1"/>
    <xf numFmtId="0" fontId="2" fillId="9" borderId="0" xfId="1" applyFill="1"/>
    <xf numFmtId="0" fontId="2" fillId="10" borderId="0" xfId="1" applyFill="1"/>
    <xf numFmtId="0" fontId="2" fillId="7" borderId="0" xfId="1" applyFill="1"/>
    <xf numFmtId="0" fontId="5" fillId="7" borderId="0" xfId="1" applyFont="1" applyFill="1" applyAlignment="1">
      <alignment vertical="center" wrapText="1"/>
    </xf>
    <xf numFmtId="0" fontId="6" fillId="7" borderId="0" xfId="1" applyFont="1" applyFill="1" applyAlignment="1">
      <alignment horizontal="center" wrapText="1"/>
    </xf>
    <xf numFmtId="0" fontId="4" fillId="7" borderId="0" xfId="2" applyFill="1" applyAlignment="1">
      <alignment wrapText="1"/>
    </xf>
    <xf numFmtId="0" fontId="2" fillId="7" borderId="0" xfId="1" applyFill="1" applyAlignment="1">
      <alignment wrapText="1"/>
    </xf>
    <xf numFmtId="0" fontId="4" fillId="7" borderId="0" xfId="2" applyFill="1"/>
    <xf numFmtId="0" fontId="3" fillId="7" borderId="0" xfId="1" applyFont="1" applyFill="1"/>
    <xf numFmtId="0" fontId="5" fillId="4" borderId="0" xfId="1" applyFont="1" applyFill="1" applyAlignment="1">
      <alignment vertical="center" wrapText="1"/>
    </xf>
    <xf numFmtId="0" fontId="7" fillId="0" borderId="0" xfId="0" applyFont="1"/>
    <xf numFmtId="0" fontId="0" fillId="7" borderId="0" xfId="0" applyFill="1"/>
    <xf numFmtId="0" fontId="13" fillId="0" borderId="0" xfId="0" applyFont="1" applyAlignment="1">
      <alignment horizontal="center" vertical="center" wrapText="1"/>
    </xf>
    <xf numFmtId="0" fontId="14" fillId="0" borderId="0" xfId="0" applyFont="1" applyAlignment="1">
      <alignment vertical="center" wrapText="1"/>
    </xf>
    <xf numFmtId="0" fontId="13" fillId="0" borderId="0" xfId="0" applyFont="1" applyAlignment="1">
      <alignment vertical="center" wrapText="1"/>
    </xf>
    <xf numFmtId="0" fontId="15" fillId="0" borderId="0" xfId="0" applyFont="1" applyAlignment="1">
      <alignment horizontal="center" vertical="center" wrapText="1"/>
    </xf>
    <xf numFmtId="0" fontId="2" fillId="4" borderId="0" xfId="1" applyFill="1" applyAlignment="1">
      <alignment horizontal="center"/>
    </xf>
    <xf numFmtId="0" fontId="2" fillId="10" borderId="0" xfId="1" applyFill="1" applyAlignment="1">
      <alignment horizontal="center"/>
    </xf>
    <xf numFmtId="0" fontId="17" fillId="10" borderId="0" xfId="1" applyFont="1" applyFill="1" applyAlignment="1">
      <alignment horizontal="left" vertical="center"/>
    </xf>
    <xf numFmtId="0" fontId="18" fillId="10" borderId="0" xfId="1" applyFont="1" applyFill="1" applyAlignment="1">
      <alignment vertical="center" wrapText="1"/>
    </xf>
    <xf numFmtId="0" fontId="11" fillId="10" borderId="7" xfId="1" applyFont="1" applyFill="1" applyBorder="1" applyAlignment="1">
      <alignment horizontal="center" vertical="top"/>
    </xf>
    <xf numFmtId="0" fontId="9" fillId="2" borderId="23"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25" xfId="0" applyFont="1" applyFill="1" applyBorder="1" applyAlignment="1">
      <alignment horizontal="center" vertical="center" wrapText="1"/>
    </xf>
    <xf numFmtId="4" fontId="0" fillId="0" borderId="0" xfId="0" applyNumberFormat="1"/>
    <xf numFmtId="4" fontId="9" fillId="0" borderId="5" xfId="0" applyNumberFormat="1" applyFont="1" applyBorder="1" applyAlignment="1">
      <alignment vertical="top" wrapText="1"/>
    </xf>
    <xf numFmtId="4" fontId="9" fillId="0" borderId="5" xfId="0" applyNumberFormat="1" applyFont="1" applyBorder="1" applyAlignment="1">
      <alignment horizontal="left" vertical="top" wrapText="1"/>
    </xf>
    <xf numFmtId="4" fontId="9" fillId="0" borderId="5" xfId="0" applyNumberFormat="1" applyFont="1" applyBorder="1" applyAlignment="1">
      <alignment wrapText="1"/>
    </xf>
    <xf numFmtId="4" fontId="0" fillId="0" borderId="5" xfId="0" applyNumberFormat="1" applyBorder="1"/>
    <xf numFmtId="4" fontId="0" fillId="0" borderId="21" xfId="0" applyNumberFormat="1" applyBorder="1"/>
    <xf numFmtId="164" fontId="0" fillId="0" borderId="0" xfId="0" applyNumberFormat="1"/>
    <xf numFmtId="0" fontId="9" fillId="2" borderId="27" xfId="0" applyFont="1" applyFill="1" applyBorder="1" applyAlignment="1">
      <alignment horizontal="center" vertical="center" wrapText="1"/>
    </xf>
    <xf numFmtId="0" fontId="9" fillId="2" borderId="28" xfId="0" applyFont="1" applyFill="1" applyBorder="1" applyAlignment="1">
      <alignment horizontal="center" vertical="center" wrapText="1"/>
    </xf>
    <xf numFmtId="0" fontId="9" fillId="2" borderId="29" xfId="0" applyFont="1" applyFill="1" applyBorder="1" applyAlignment="1">
      <alignment horizontal="center" vertical="center" wrapText="1"/>
    </xf>
    <xf numFmtId="4" fontId="9" fillId="0" borderId="6" xfId="0" applyNumberFormat="1" applyFont="1" applyBorder="1"/>
    <xf numFmtId="4" fontId="0" fillId="0" borderId="6" xfId="0" applyNumberFormat="1" applyBorder="1"/>
    <xf numFmtId="4" fontId="0" fillId="0" borderId="25" xfId="0" applyNumberFormat="1" applyBorder="1"/>
    <xf numFmtId="4" fontId="9" fillId="0" borderId="8" xfId="0" applyNumberFormat="1" applyFont="1" applyBorder="1" applyAlignment="1">
      <alignment vertical="top" wrapText="1"/>
    </xf>
    <xf numFmtId="4" fontId="9" fillId="0" borderId="23" xfId="0" applyNumberFormat="1" applyFont="1" applyBorder="1"/>
    <xf numFmtId="164" fontId="9" fillId="0" borderId="5" xfId="0" applyNumberFormat="1" applyFont="1" applyBorder="1" applyAlignment="1">
      <alignment horizontal="right"/>
    </xf>
    <xf numFmtId="4" fontId="9" fillId="0" borderId="28" xfId="0" applyNumberFormat="1" applyFont="1" applyBorder="1" applyAlignment="1">
      <alignment vertical="top" wrapText="1"/>
    </xf>
    <xf numFmtId="4" fontId="9" fillId="0" borderId="28" xfId="0" applyNumberFormat="1" applyFont="1" applyBorder="1" applyAlignment="1">
      <alignment horizontal="left" vertical="top" wrapText="1"/>
    </xf>
    <xf numFmtId="4" fontId="9" fillId="0" borderId="28" xfId="0" applyNumberFormat="1" applyFont="1" applyBorder="1" applyAlignment="1">
      <alignment wrapText="1"/>
    </xf>
    <xf numFmtId="4" fontId="0" fillId="0" borderId="28" xfId="0" applyNumberFormat="1" applyBorder="1"/>
    <xf numFmtId="4" fontId="0" fillId="0" borderId="29" xfId="0" applyNumberFormat="1" applyBorder="1"/>
    <xf numFmtId="0" fontId="0" fillId="10" borderId="22" xfId="0" applyFill="1" applyBorder="1"/>
    <xf numFmtId="0" fontId="0" fillId="10" borderId="4" xfId="0" applyFill="1" applyBorder="1"/>
    <xf numFmtId="4" fontId="9" fillId="0" borderId="27" xfId="0" applyNumberFormat="1" applyFont="1" applyBorder="1" applyAlignment="1">
      <alignment vertical="top" wrapText="1"/>
    </xf>
    <xf numFmtId="4" fontId="10" fillId="7" borderId="2" xfId="0" applyNumberFormat="1" applyFont="1" applyFill="1" applyBorder="1" applyAlignment="1">
      <alignment horizontal="center" vertical="center" wrapText="1"/>
    </xf>
    <xf numFmtId="4" fontId="10" fillId="7" borderId="15" xfId="0" applyNumberFormat="1" applyFont="1" applyFill="1" applyBorder="1" applyAlignment="1">
      <alignment horizontal="center" vertical="center" wrapText="1"/>
    </xf>
    <xf numFmtId="4" fontId="10" fillId="7" borderId="10" xfId="0" applyNumberFormat="1" applyFont="1" applyFill="1" applyBorder="1" applyAlignment="1">
      <alignment horizontal="center" vertical="center" wrapText="1"/>
    </xf>
    <xf numFmtId="165" fontId="9" fillId="0" borderId="5" xfId="0" applyNumberFormat="1" applyFont="1" applyBorder="1" applyAlignment="1">
      <alignment horizontal="right"/>
    </xf>
    <xf numFmtId="166" fontId="9" fillId="0" borderId="5" xfId="0" applyNumberFormat="1" applyFont="1" applyBorder="1" applyAlignment="1">
      <alignment horizontal="right"/>
    </xf>
    <xf numFmtId="164" fontId="9" fillId="0" borderId="27" xfId="0" applyNumberFormat="1" applyFont="1" applyBorder="1" applyAlignment="1">
      <alignment vertical="top" wrapText="1"/>
    </xf>
    <xf numFmtId="164" fontId="9" fillId="0" borderId="28" xfId="0" applyNumberFormat="1" applyFont="1" applyBorder="1" applyAlignment="1">
      <alignment horizontal="left" vertical="top" wrapText="1"/>
    </xf>
    <xf numFmtId="164" fontId="9" fillId="0" borderId="28" xfId="0" applyNumberFormat="1" applyFont="1" applyBorder="1" applyAlignment="1">
      <alignment wrapText="1"/>
    </xf>
    <xf numFmtId="164" fontId="9" fillId="0" borderId="28" xfId="0" applyNumberFormat="1" applyFont="1" applyBorder="1" applyAlignment="1">
      <alignment vertical="top" wrapText="1"/>
    </xf>
    <xf numFmtId="164" fontId="0" fillId="0" borderId="28" xfId="0" applyNumberFormat="1" applyBorder="1"/>
    <xf numFmtId="164" fontId="0" fillId="0" borderId="29" xfId="0" applyNumberFormat="1" applyBorder="1"/>
    <xf numFmtId="4" fontId="0" fillId="0" borderId="16" xfId="0" applyNumberFormat="1" applyBorder="1"/>
    <xf numFmtId="0" fontId="9" fillId="0" borderId="8" xfId="0" applyFont="1" applyBorder="1" applyAlignment="1">
      <alignment vertical="top" wrapText="1"/>
    </xf>
    <xf numFmtId="0" fontId="9" fillId="0" borderId="5" xfId="0" applyFont="1" applyBorder="1" applyAlignment="1">
      <alignment horizontal="left" vertical="top" wrapText="1"/>
    </xf>
    <xf numFmtId="0" fontId="9" fillId="0" borderId="5" xfId="0" applyFont="1" applyBorder="1" applyAlignment="1">
      <alignment wrapText="1"/>
    </xf>
    <xf numFmtId="0" fontId="9" fillId="0" borderId="5" xfId="0" applyFont="1" applyBorder="1" applyAlignment="1">
      <alignment vertical="top" wrapText="1"/>
    </xf>
    <xf numFmtId="0" fontId="0" fillId="0" borderId="5" xfId="0" applyBorder="1"/>
    <xf numFmtId="0" fontId="9" fillId="0" borderId="8" xfId="0" applyFont="1" applyBorder="1" applyAlignment="1">
      <alignment vertical="center" wrapText="1"/>
    </xf>
    <xf numFmtId="0" fontId="9" fillId="0" borderId="5" xfId="0" applyFont="1" applyBorder="1" applyAlignment="1">
      <alignment vertical="center" wrapText="1"/>
    </xf>
    <xf numFmtId="0" fontId="9" fillId="0" borderId="5" xfId="0" applyFont="1" applyBorder="1" applyAlignment="1">
      <alignment horizontal="left" wrapText="1"/>
    </xf>
    <xf numFmtId="0" fontId="9" fillId="0" borderId="5" xfId="0" applyFont="1" applyBorder="1" applyAlignment="1">
      <alignment horizontal="left" vertical="center" wrapText="1"/>
    </xf>
    <xf numFmtId="0" fontId="9" fillId="0" borderId="27" xfId="0" applyFont="1" applyBorder="1" applyAlignment="1">
      <alignment vertical="top" wrapText="1"/>
    </xf>
    <xf numFmtId="0" fontId="9" fillId="0" borderId="28" xfId="0" applyFont="1" applyBorder="1" applyAlignment="1">
      <alignment horizontal="left" vertical="top" wrapText="1"/>
    </xf>
    <xf numFmtId="0" fontId="9" fillId="0" borderId="28" xfId="0" applyFont="1" applyBorder="1" applyAlignment="1">
      <alignment wrapText="1"/>
    </xf>
    <xf numFmtId="0" fontId="9" fillId="0" borderId="28" xfId="0" applyFont="1" applyBorder="1" applyAlignment="1">
      <alignment vertical="top" wrapText="1"/>
    </xf>
    <xf numFmtId="0" fontId="0" fillId="0" borderId="28" xfId="0" applyBorder="1"/>
    <xf numFmtId="0" fontId="0" fillId="0" borderId="29" xfId="0" applyBorder="1"/>
    <xf numFmtId="0" fontId="9" fillId="10" borderId="5" xfId="0" applyFont="1" applyFill="1" applyBorder="1" applyAlignment="1">
      <alignment horizontal="center" vertical="center" wrapText="1"/>
    </xf>
    <xf numFmtId="0" fontId="27" fillId="10" borderId="0" xfId="1" applyFont="1" applyFill="1" applyAlignment="1">
      <alignment horizontal="left" vertical="top" wrapText="1"/>
    </xf>
    <xf numFmtId="0" fontId="0" fillId="0" borderId="0" xfId="0" applyAlignment="1">
      <alignment horizontal="left" vertical="top" wrapText="1"/>
    </xf>
    <xf numFmtId="0" fontId="4" fillId="10" borderId="0" xfId="2" applyFill="1" applyAlignment="1">
      <alignment horizontal="left" vertical="top" wrapText="1"/>
    </xf>
    <xf numFmtId="0" fontId="4" fillId="0" borderId="0" xfId="2" applyAlignment="1">
      <alignment horizontal="left" vertical="top" wrapText="1"/>
    </xf>
    <xf numFmtId="165" fontId="0" fillId="0" borderId="0" xfId="0" applyNumberFormat="1"/>
    <xf numFmtId="166" fontId="0" fillId="0" borderId="0" xfId="0" applyNumberFormat="1"/>
    <xf numFmtId="168" fontId="0" fillId="0" borderId="0" xfId="0" applyNumberFormat="1"/>
    <xf numFmtId="0" fontId="11" fillId="0" borderId="0" xfId="0" applyFont="1" applyAlignment="1">
      <alignment horizontal="left" vertical="top" wrapText="1"/>
    </xf>
    <xf numFmtId="0" fontId="35" fillId="10" borderId="0" xfId="1" applyFont="1" applyFill="1" applyAlignment="1">
      <alignment vertical="center" wrapText="1"/>
    </xf>
    <xf numFmtId="0" fontId="0" fillId="7" borderId="0" xfId="1" applyFont="1" applyFill="1"/>
    <xf numFmtId="0" fontId="0" fillId="4" borderId="0" xfId="1" applyFont="1" applyFill="1" applyAlignment="1">
      <alignment horizontal="center"/>
    </xf>
    <xf numFmtId="0" fontId="0" fillId="10" borderId="0" xfId="1" applyFont="1" applyFill="1" applyAlignment="1">
      <alignment horizontal="center"/>
    </xf>
    <xf numFmtId="0" fontId="34" fillId="11" borderId="31" xfId="0" applyFont="1" applyFill="1" applyBorder="1" applyAlignment="1">
      <alignment horizontal="justify" vertical="center" wrapText="1"/>
    </xf>
    <xf numFmtId="0" fontId="34" fillId="11" borderId="32" xfId="0" applyFont="1" applyFill="1" applyBorder="1" applyAlignment="1">
      <alignment horizontal="justify" vertical="center" wrapText="1"/>
    </xf>
    <xf numFmtId="0" fontId="34" fillId="11" borderId="31" xfId="0" applyFont="1" applyFill="1" applyBorder="1" applyAlignment="1">
      <alignment horizontal="left" vertical="center" wrapText="1"/>
    </xf>
    <xf numFmtId="0" fontId="11" fillId="10" borderId="0" xfId="1" applyFont="1" applyFill="1" applyAlignment="1">
      <alignment horizontal="center" vertical="top"/>
    </xf>
    <xf numFmtId="0" fontId="0" fillId="0" borderId="0" xfId="0" applyAlignment="1">
      <alignment vertical="top"/>
    </xf>
    <xf numFmtId="0" fontId="36" fillId="10" borderId="0" xfId="1" applyFont="1" applyFill="1" applyAlignment="1">
      <alignment vertical="top" wrapText="1"/>
    </xf>
    <xf numFmtId="0" fontId="7" fillId="11" borderId="5" xfId="1" applyFont="1" applyFill="1" applyBorder="1" applyAlignment="1">
      <alignment vertical="center" wrapText="1"/>
    </xf>
    <xf numFmtId="0" fontId="7" fillId="11" borderId="5" xfId="1" applyFont="1" applyFill="1" applyBorder="1" applyAlignment="1">
      <alignment horizontal="center" vertical="center" wrapText="1"/>
    </xf>
    <xf numFmtId="0" fontId="7" fillId="11" borderId="5" xfId="1" applyFont="1" applyFill="1" applyBorder="1" applyAlignment="1">
      <alignment horizontal="left" vertical="center"/>
    </xf>
    <xf numFmtId="9" fontId="1" fillId="11" borderId="5" xfId="4" applyFont="1" applyFill="1" applyBorder="1" applyAlignment="1">
      <alignment horizontal="center" vertical="center"/>
    </xf>
    <xf numFmtId="9" fontId="0" fillId="11" borderId="5" xfId="4" applyFont="1" applyFill="1" applyBorder="1" applyAlignment="1">
      <alignment horizontal="center" vertical="center"/>
    </xf>
    <xf numFmtId="0" fontId="1" fillId="10" borderId="0" xfId="1" applyFont="1" applyFill="1" applyAlignment="1">
      <alignment horizontal="left" vertical="top" wrapText="1"/>
    </xf>
    <xf numFmtId="0" fontId="1" fillId="11" borderId="5" xfId="1" applyFont="1" applyFill="1" applyBorder="1" applyAlignment="1">
      <alignment horizontal="right" wrapText="1"/>
    </xf>
    <xf numFmtId="0" fontId="1" fillId="11" borderId="24" xfId="1" applyFont="1" applyFill="1" applyBorder="1" applyAlignment="1">
      <alignment horizontal="right" wrapText="1"/>
    </xf>
    <xf numFmtId="164" fontId="1" fillId="11" borderId="5" xfId="1" applyNumberFormat="1" applyFont="1" applyFill="1" applyBorder="1" applyAlignment="1">
      <alignment horizontal="right" wrapText="1"/>
    </xf>
    <xf numFmtId="164" fontId="1" fillId="11" borderId="24" xfId="1" applyNumberFormat="1" applyFont="1" applyFill="1" applyBorder="1" applyAlignment="1">
      <alignment horizontal="right" wrapText="1"/>
    </xf>
    <xf numFmtId="164" fontId="1" fillId="11" borderId="33" xfId="1" applyNumberFormat="1" applyFont="1" applyFill="1" applyBorder="1" applyAlignment="1">
      <alignment horizontal="right" wrapText="1"/>
    </xf>
    <xf numFmtId="164" fontId="1" fillId="11" borderId="34" xfId="1" applyNumberFormat="1" applyFont="1" applyFill="1" applyBorder="1" applyAlignment="1">
      <alignment horizontal="right" wrapText="1"/>
    </xf>
    <xf numFmtId="0" fontId="1" fillId="7" borderId="0" xfId="1" applyFont="1" applyFill="1"/>
    <xf numFmtId="0" fontId="1" fillId="10" borderId="0" xfId="1" applyFont="1" applyFill="1"/>
    <xf numFmtId="0" fontId="1" fillId="0" borderId="0" xfId="0" applyFont="1"/>
    <xf numFmtId="0" fontId="39" fillId="11" borderId="0" xfId="0" applyFont="1" applyFill="1"/>
    <xf numFmtId="0" fontId="40" fillId="11" borderId="5" xfId="0" applyFont="1" applyFill="1" applyBorder="1" applyAlignment="1">
      <alignment horizontal="center" vertical="center" wrapText="1"/>
    </xf>
    <xf numFmtId="165" fontId="39" fillId="11" borderId="0" xfId="0" applyNumberFormat="1" applyFont="1" applyFill="1"/>
    <xf numFmtId="168" fontId="39" fillId="11" borderId="0" xfId="0" applyNumberFormat="1" applyFont="1" applyFill="1"/>
    <xf numFmtId="167" fontId="39" fillId="11" borderId="0" xfId="0" applyNumberFormat="1" applyFont="1" applyFill="1"/>
    <xf numFmtId="0" fontId="10" fillId="10" borderId="5" xfId="0" applyFont="1" applyFill="1" applyBorder="1" applyAlignment="1">
      <alignment horizontal="center" vertical="center" wrapText="1"/>
    </xf>
    <xf numFmtId="0" fontId="1" fillId="10" borderId="5" xfId="0" applyFont="1" applyFill="1" applyBorder="1"/>
    <xf numFmtId="0" fontId="0" fillId="0" borderId="0" xfId="0" applyAlignment="1">
      <alignment horizontal="left"/>
    </xf>
    <xf numFmtId="0" fontId="10" fillId="10" borderId="5" xfId="0" applyFont="1" applyFill="1" applyBorder="1" applyAlignment="1">
      <alignment horizontal="left" vertical="center" wrapText="1"/>
    </xf>
    <xf numFmtId="0" fontId="9" fillId="10" borderId="5" xfId="0" applyFont="1" applyFill="1" applyBorder="1" applyAlignment="1">
      <alignment horizontal="left" vertical="center" wrapText="1"/>
    </xf>
    <xf numFmtId="0" fontId="17" fillId="10" borderId="5" xfId="2" applyFont="1" applyFill="1" applyBorder="1" applyAlignment="1">
      <alignment horizontal="center" vertical="top" wrapText="1"/>
    </xf>
    <xf numFmtId="0" fontId="42" fillId="10" borderId="5" xfId="2" applyFont="1" applyFill="1" applyBorder="1" applyAlignment="1">
      <alignment horizontal="center" vertical="top" wrapText="1"/>
    </xf>
    <xf numFmtId="0" fontId="0" fillId="0" borderId="0" xfId="0" applyAlignment="1">
      <alignment horizontal="center" vertical="center"/>
    </xf>
    <xf numFmtId="0" fontId="24" fillId="10" borderId="5" xfId="0" applyFont="1" applyFill="1" applyBorder="1" applyAlignment="1">
      <alignment horizontal="center" vertical="center" wrapText="1"/>
    </xf>
    <xf numFmtId="169" fontId="0" fillId="0" borderId="0" xfId="0" applyNumberFormat="1"/>
    <xf numFmtId="164" fontId="43" fillId="0" borderId="5" xfId="0" applyNumberFormat="1" applyFont="1" applyBorder="1" applyAlignment="1">
      <alignment horizontal="center" vertical="center" wrapText="1"/>
    </xf>
    <xf numFmtId="0" fontId="44" fillId="0" borderId="0" xfId="0" applyFont="1"/>
    <xf numFmtId="0" fontId="39" fillId="11" borderId="0" xfId="0" applyFont="1" applyFill="1" applyAlignment="1">
      <alignment horizontal="center"/>
    </xf>
    <xf numFmtId="164" fontId="43" fillId="10" borderId="5" xfId="0" applyNumberFormat="1" applyFont="1" applyFill="1" applyBorder="1" applyAlignment="1">
      <alignment horizontal="center" vertical="center" wrapText="1"/>
    </xf>
    <xf numFmtId="164" fontId="9" fillId="0" borderId="5" xfId="0" applyNumberFormat="1" applyFont="1" applyBorder="1" applyAlignment="1">
      <alignment horizontal="center" vertical="center" wrapText="1"/>
    </xf>
    <xf numFmtId="0" fontId="9" fillId="0" borderId="5" xfId="0" applyFont="1" applyBorder="1" applyAlignment="1">
      <alignment horizontal="center" vertical="center" wrapText="1"/>
    </xf>
    <xf numFmtId="0" fontId="0" fillId="10" borderId="0" xfId="0" applyFill="1"/>
    <xf numFmtId="0" fontId="39" fillId="11" borderId="0" xfId="0" applyFont="1" applyFill="1" applyAlignment="1">
      <alignment horizontal="center" vertical="center"/>
    </xf>
    <xf numFmtId="164" fontId="9" fillId="10" borderId="5" xfId="0" applyNumberFormat="1" applyFont="1" applyFill="1" applyBorder="1" applyAlignment="1">
      <alignment horizontal="right"/>
    </xf>
    <xf numFmtId="0" fontId="47" fillId="0" borderId="0" xfId="0" applyFont="1"/>
    <xf numFmtId="164" fontId="39" fillId="11" borderId="0" xfId="0" applyNumberFormat="1" applyFont="1" applyFill="1" applyAlignment="1">
      <alignment horizontal="center" vertical="center"/>
    </xf>
    <xf numFmtId="4" fontId="39" fillId="11" borderId="0" xfId="0" applyNumberFormat="1" applyFont="1" applyFill="1" applyAlignment="1">
      <alignment horizontal="center" vertical="center"/>
    </xf>
    <xf numFmtId="0" fontId="48" fillId="0" borderId="0" xfId="0" applyFont="1"/>
    <xf numFmtId="164" fontId="40" fillId="11" borderId="5" xfId="0" applyNumberFormat="1" applyFont="1" applyFill="1" applyBorder="1" applyAlignment="1">
      <alignment horizontal="center" vertical="center" wrapText="1"/>
    </xf>
    <xf numFmtId="0" fontId="10" fillId="7" borderId="5" xfId="0" applyFont="1" applyFill="1" applyBorder="1" applyAlignment="1">
      <alignment horizontal="center" vertical="center" wrapText="1"/>
    </xf>
    <xf numFmtId="0" fontId="9" fillId="2" borderId="5" xfId="0" applyFont="1" applyFill="1" applyBorder="1" applyAlignment="1">
      <alignment horizontal="center" vertical="center" wrapText="1"/>
    </xf>
    <xf numFmtId="164" fontId="9" fillId="0" borderId="5" xfId="0" applyNumberFormat="1" applyFont="1" applyBorder="1" applyAlignment="1">
      <alignment horizontal="center" vertical="center"/>
    </xf>
    <xf numFmtId="165" fontId="45" fillId="0" borderId="5" xfId="0" applyNumberFormat="1" applyFont="1" applyBorder="1" applyAlignment="1">
      <alignment horizontal="right"/>
    </xf>
    <xf numFmtId="14" fontId="9" fillId="0" borderId="5" xfId="0" applyNumberFormat="1" applyFont="1" applyBorder="1" applyAlignment="1">
      <alignment horizontal="center" vertical="center"/>
    </xf>
    <xf numFmtId="0" fontId="9" fillId="0" borderId="5" xfId="0" applyFont="1" applyBorder="1" applyAlignment="1">
      <alignment horizontal="center" vertical="center"/>
    </xf>
    <xf numFmtId="0" fontId="10" fillId="11" borderId="5" xfId="0" applyFont="1" applyFill="1" applyBorder="1" applyAlignment="1">
      <alignment horizontal="center" vertical="center" wrapText="1"/>
    </xf>
    <xf numFmtId="165" fontId="9" fillId="10" borderId="5" xfId="0" applyNumberFormat="1" applyFont="1" applyFill="1" applyBorder="1" applyAlignment="1">
      <alignment horizontal="right"/>
    </xf>
    <xf numFmtId="166" fontId="9" fillId="10" borderId="5" xfId="0" applyNumberFormat="1" applyFont="1" applyFill="1" applyBorder="1" applyAlignment="1">
      <alignment horizontal="right"/>
    </xf>
    <xf numFmtId="14" fontId="9" fillId="10" borderId="5" xfId="0" applyNumberFormat="1" applyFont="1" applyFill="1" applyBorder="1" applyAlignment="1">
      <alignment horizontal="center" vertical="center"/>
    </xf>
    <xf numFmtId="164" fontId="9" fillId="10" borderId="5" xfId="0" applyNumberFormat="1" applyFont="1" applyFill="1" applyBorder="1" applyAlignment="1">
      <alignment horizontal="center" vertical="center" wrapText="1"/>
    </xf>
    <xf numFmtId="0" fontId="9" fillId="10" borderId="5" xfId="0" applyFont="1" applyFill="1" applyBorder="1" applyAlignment="1">
      <alignment horizontal="center" vertical="center"/>
    </xf>
    <xf numFmtId="165" fontId="9" fillId="10" borderId="5" xfId="0" applyNumberFormat="1" applyFont="1" applyFill="1" applyBorder="1" applyAlignment="1">
      <alignment horizontal="center" vertical="center" wrapText="1"/>
    </xf>
    <xf numFmtId="0" fontId="4" fillId="0" borderId="5" xfId="2" applyFill="1" applyBorder="1" applyAlignment="1">
      <alignment horizontal="center" vertical="center" wrapText="1"/>
    </xf>
    <xf numFmtId="0" fontId="46" fillId="0" borderId="5" xfId="2" applyFont="1" applyFill="1" applyBorder="1" applyAlignment="1">
      <alignment horizontal="center" vertical="center" wrapText="1"/>
    </xf>
    <xf numFmtId="165" fontId="0" fillId="10" borderId="0" xfId="0" applyNumberFormat="1" applyFill="1"/>
    <xf numFmtId="168" fontId="9" fillId="0" borderId="5" xfId="0" applyNumberFormat="1" applyFont="1" applyBorder="1" applyAlignment="1">
      <alignment horizontal="center"/>
    </xf>
    <xf numFmtId="168" fontId="0" fillId="0" borderId="0" xfId="0" applyNumberFormat="1" applyAlignment="1">
      <alignment horizontal="center"/>
    </xf>
    <xf numFmtId="168" fontId="9" fillId="10" borderId="5" xfId="0" applyNumberFormat="1" applyFont="1" applyFill="1" applyBorder="1" applyAlignment="1">
      <alignment horizontal="center"/>
    </xf>
    <xf numFmtId="0" fontId="1" fillId="11" borderId="0" xfId="0" applyFont="1" applyFill="1"/>
    <xf numFmtId="164" fontId="24" fillId="11" borderId="5" xfId="0" applyNumberFormat="1" applyFont="1" applyFill="1" applyBorder="1" applyAlignment="1">
      <alignment horizontal="center" vertical="center" wrapText="1"/>
    </xf>
    <xf numFmtId="14" fontId="49" fillId="11" borderId="5" xfId="0" applyNumberFormat="1" applyFont="1" applyFill="1" applyBorder="1" applyAlignment="1">
      <alignment horizontal="center" wrapText="1"/>
    </xf>
    <xf numFmtId="164" fontId="24" fillId="11" borderId="5" xfId="0" applyNumberFormat="1" applyFont="1" applyFill="1" applyBorder="1" applyAlignment="1">
      <alignment horizontal="center" wrapText="1"/>
    </xf>
    <xf numFmtId="14" fontId="24" fillId="11" borderId="5" xfId="0" applyNumberFormat="1" applyFont="1" applyFill="1" applyBorder="1" applyAlignment="1">
      <alignment horizontal="center" wrapText="1"/>
    </xf>
    <xf numFmtId="164" fontId="24" fillId="11" borderId="5" xfId="0" applyNumberFormat="1" applyFont="1" applyFill="1" applyBorder="1" applyAlignment="1">
      <alignment horizontal="center"/>
    </xf>
    <xf numFmtId="164" fontId="43" fillId="10" borderId="5" xfId="0" applyNumberFormat="1" applyFont="1" applyFill="1" applyBorder="1" applyAlignment="1">
      <alignment horizontal="right"/>
    </xf>
    <xf numFmtId="165" fontId="45" fillId="0" borderId="5" xfId="0" applyNumberFormat="1" applyFont="1" applyBorder="1" applyAlignment="1">
      <alignment horizontal="center"/>
    </xf>
    <xf numFmtId="0" fontId="50" fillId="10" borderId="7" xfId="0" applyFont="1" applyFill="1" applyBorder="1"/>
    <xf numFmtId="164" fontId="24" fillId="11" borderId="5" xfId="0" applyNumberFormat="1" applyFont="1" applyFill="1" applyBorder="1" applyAlignment="1">
      <alignment horizontal="center" vertical="center"/>
    </xf>
    <xf numFmtId="14" fontId="49" fillId="11" borderId="5" xfId="0" applyNumberFormat="1" applyFont="1" applyFill="1" applyBorder="1" applyAlignment="1">
      <alignment horizontal="center"/>
    </xf>
    <xf numFmtId="14" fontId="49" fillId="11" borderId="5" xfId="0" applyNumberFormat="1" applyFont="1" applyFill="1" applyBorder="1"/>
    <xf numFmtId="165" fontId="24" fillId="11" borderId="5" xfId="0" applyNumberFormat="1" applyFont="1" applyFill="1" applyBorder="1" applyAlignment="1">
      <alignment horizontal="center" vertical="center" wrapText="1"/>
    </xf>
    <xf numFmtId="164" fontId="24" fillId="11" borderId="5" xfId="0" applyNumberFormat="1" applyFont="1" applyFill="1" applyBorder="1" applyAlignment="1">
      <alignment horizontal="right" wrapText="1"/>
    </xf>
    <xf numFmtId="165" fontId="24" fillId="11" borderId="5" xfId="0" applyNumberFormat="1" applyFont="1" applyFill="1" applyBorder="1" applyAlignment="1">
      <alignment horizontal="right"/>
    </xf>
    <xf numFmtId="164" fontId="24" fillId="11" borderId="5" xfId="0" applyNumberFormat="1" applyFont="1" applyFill="1" applyBorder="1" applyAlignment="1">
      <alignment horizontal="right"/>
    </xf>
    <xf numFmtId="10" fontId="24" fillId="11" borderId="5" xfId="0" applyNumberFormat="1" applyFont="1" applyFill="1" applyBorder="1" applyAlignment="1">
      <alignment horizontal="right"/>
    </xf>
    <xf numFmtId="0" fontId="24" fillId="11" borderId="5" xfId="0" applyFont="1" applyFill="1" applyBorder="1" applyAlignment="1">
      <alignment horizontal="right"/>
    </xf>
    <xf numFmtId="0" fontId="22" fillId="6" borderId="5" xfId="0" applyFont="1" applyFill="1" applyBorder="1" applyAlignment="1">
      <alignment horizontal="center" vertical="center"/>
    </xf>
    <xf numFmtId="164" fontId="24" fillId="7" borderId="5" xfId="0" applyNumberFormat="1" applyFont="1" applyFill="1" applyBorder="1" applyAlignment="1">
      <alignment horizontal="center" vertical="center" wrapText="1"/>
    </xf>
    <xf numFmtId="0" fontId="22" fillId="5" borderId="5" xfId="0" applyFont="1" applyFill="1" applyBorder="1" applyAlignment="1">
      <alignment horizontal="center" vertical="center"/>
    </xf>
    <xf numFmtId="0" fontId="22" fillId="8" borderId="5" xfId="0" applyFont="1" applyFill="1" applyBorder="1" applyAlignment="1">
      <alignment horizontal="center" vertical="center" wrapText="1"/>
    </xf>
    <xf numFmtId="0" fontId="10" fillId="7" borderId="5" xfId="0" applyFont="1" applyFill="1" applyBorder="1" applyAlignment="1">
      <alignment horizontal="center" vertical="center" wrapText="1"/>
    </xf>
    <xf numFmtId="0" fontId="40" fillId="11" borderId="5" xfId="0" applyFont="1" applyFill="1" applyBorder="1" applyAlignment="1">
      <alignment horizontal="center" vertical="center" wrapText="1"/>
    </xf>
    <xf numFmtId="164" fontId="9" fillId="7" borderId="5" xfId="0" applyNumberFormat="1" applyFont="1" applyFill="1" applyBorder="1" applyAlignment="1">
      <alignment horizontal="center" vertical="center" wrapText="1"/>
    </xf>
    <xf numFmtId="164" fontId="10" fillId="7" borderId="5" xfId="0" applyNumberFormat="1" applyFont="1" applyFill="1" applyBorder="1" applyAlignment="1">
      <alignment horizontal="center" vertical="center" wrapText="1"/>
    </xf>
    <xf numFmtId="4" fontId="10" fillId="7" borderId="5" xfId="0" applyNumberFormat="1" applyFont="1" applyFill="1" applyBorder="1" applyAlignment="1">
      <alignment horizontal="center" vertical="top" wrapText="1"/>
    </xf>
    <xf numFmtId="0" fontId="1" fillId="0" borderId="8" xfId="0" applyFont="1" applyBorder="1" applyAlignment="1">
      <alignment horizontal="center" vertical="center"/>
    </xf>
    <xf numFmtId="0" fontId="0" fillId="0" borderId="5" xfId="0" applyBorder="1" applyAlignment="1">
      <alignment horizontal="center" vertical="center"/>
    </xf>
    <xf numFmtId="4" fontId="10" fillId="7" borderId="5" xfId="0" applyNumberFormat="1" applyFont="1" applyFill="1" applyBorder="1" applyAlignment="1">
      <alignment horizontal="center" vertical="center" wrapText="1"/>
    </xf>
    <xf numFmtId="164" fontId="40" fillId="11" borderId="5" xfId="0" applyNumberFormat="1" applyFont="1" applyFill="1" applyBorder="1" applyAlignment="1">
      <alignment horizontal="center" vertical="center" wrapText="1"/>
    </xf>
    <xf numFmtId="0" fontId="39" fillId="11" borderId="5" xfId="0" applyFont="1" applyFill="1" applyBorder="1" applyAlignment="1">
      <alignment horizontal="center" vertical="center" wrapText="1"/>
    </xf>
    <xf numFmtId="164" fontId="10" fillId="11" borderId="5" xfId="0" applyNumberFormat="1" applyFont="1" applyFill="1" applyBorder="1" applyAlignment="1">
      <alignment horizontal="center" vertical="center" wrapText="1"/>
    </xf>
    <xf numFmtId="0" fontId="0" fillId="0" borderId="5" xfId="0" applyBorder="1" applyAlignment="1">
      <alignment horizontal="center" vertical="center" wrapText="1"/>
    </xf>
    <xf numFmtId="0" fontId="27" fillId="10" borderId="0" xfId="1" applyFont="1" applyFill="1" applyAlignment="1">
      <alignment horizontal="left" vertical="top" wrapText="1"/>
    </xf>
    <xf numFmtId="0" fontId="0" fillId="0" borderId="0" xfId="0" applyAlignment="1">
      <alignment horizontal="left" vertical="top" wrapText="1"/>
    </xf>
    <xf numFmtId="0" fontId="23" fillId="10" borderId="0" xfId="1" applyFont="1" applyFill="1" applyAlignment="1">
      <alignment horizontal="center" vertical="center" wrapText="1"/>
    </xf>
    <xf numFmtId="0" fontId="0" fillId="0" borderId="0" xfId="0" applyAlignment="1">
      <alignment horizontal="center" vertical="center" wrapText="1"/>
    </xf>
    <xf numFmtId="0" fontId="12" fillId="10" borderId="0" xfId="1" applyFont="1" applyFill="1" applyAlignment="1">
      <alignment horizontal="center" vertical="center" wrapText="1"/>
    </xf>
    <xf numFmtId="0" fontId="2" fillId="4" borderId="0" xfId="1" applyFill="1" applyAlignment="1">
      <alignment horizontal="center"/>
    </xf>
    <xf numFmtId="0" fontId="2" fillId="7" borderId="0" xfId="1" applyFill="1" applyAlignment="1">
      <alignment horizontal="center"/>
    </xf>
    <xf numFmtId="0" fontId="1" fillId="10" borderId="0" xfId="1" applyFont="1" applyFill="1" applyAlignment="1">
      <alignment horizontal="left" vertical="top" wrapText="1"/>
    </xf>
    <xf numFmtId="0" fontId="4" fillId="10" borderId="0" xfId="2" applyFill="1" applyAlignment="1">
      <alignment horizontal="left" vertical="top" wrapText="1"/>
    </xf>
    <xf numFmtId="0" fontId="4" fillId="0" borderId="0" xfId="2" applyAlignment="1">
      <alignment horizontal="left" vertical="top" wrapText="1"/>
    </xf>
    <xf numFmtId="0" fontId="32" fillId="10" borderId="0" xfId="1" applyFont="1" applyFill="1" applyAlignment="1">
      <alignment horizontal="left" vertical="top" wrapText="1"/>
    </xf>
    <xf numFmtId="0" fontId="33" fillId="0" borderId="0" xfId="0" applyFont="1" applyAlignment="1">
      <alignment horizontal="left" vertical="top" wrapText="1"/>
    </xf>
    <xf numFmtId="0" fontId="39" fillId="10" borderId="0" xfId="1" applyFont="1" applyFill="1" applyAlignment="1">
      <alignment horizontal="left" vertical="top" wrapText="1"/>
    </xf>
    <xf numFmtId="0" fontId="39" fillId="0" borderId="0" xfId="0" applyFont="1"/>
    <xf numFmtId="0" fontId="38" fillId="11" borderId="5" xfId="0" applyFont="1" applyFill="1" applyBorder="1" applyAlignment="1">
      <alignment horizontal="justify" vertical="center" wrapText="1"/>
    </xf>
    <xf numFmtId="0" fontId="7" fillId="11" borderId="5" xfId="0" applyFont="1" applyFill="1" applyBorder="1" applyAlignment="1">
      <alignment horizontal="justify" vertical="center" wrapText="1"/>
    </xf>
    <xf numFmtId="0" fontId="11" fillId="10" borderId="13" xfId="1" applyFont="1" applyFill="1" applyBorder="1" applyAlignment="1">
      <alignment horizontal="center" vertical="top"/>
    </xf>
    <xf numFmtId="0" fontId="0" fillId="0" borderId="11" xfId="0" applyBorder="1" applyAlignment="1">
      <alignment vertical="top"/>
    </xf>
    <xf numFmtId="0" fontId="1" fillId="11" borderId="26" xfId="1" applyFont="1" applyFill="1" applyBorder="1" applyAlignment="1">
      <alignment horizontal="center" wrapText="1"/>
    </xf>
    <xf numFmtId="0" fontId="1" fillId="11" borderId="0" xfId="1" applyFont="1" applyFill="1" applyAlignment="1">
      <alignment horizontal="center" wrapText="1"/>
    </xf>
    <xf numFmtId="0" fontId="0" fillId="0" borderId="17" xfId="0" applyBorder="1" applyAlignment="1">
      <alignment wrapText="1"/>
    </xf>
    <xf numFmtId="0" fontId="1" fillId="11" borderId="5" xfId="1" applyFont="1" applyFill="1" applyBorder="1" applyAlignment="1">
      <alignment horizontal="left" vertical="center" wrapText="1"/>
    </xf>
    <xf numFmtId="0" fontId="0" fillId="0" borderId="5" xfId="0" applyBorder="1"/>
    <xf numFmtId="4" fontId="22" fillId="3" borderId="13" xfId="0" applyNumberFormat="1" applyFont="1" applyFill="1" applyBorder="1" applyAlignment="1">
      <alignment horizontal="center" vertical="center"/>
    </xf>
    <xf numFmtId="4" fontId="22" fillId="3" borderId="12" xfId="0" applyNumberFormat="1" applyFont="1" applyFill="1" applyBorder="1" applyAlignment="1">
      <alignment horizontal="center" vertical="center"/>
    </xf>
    <xf numFmtId="4" fontId="10" fillId="7" borderId="2" xfId="0" applyNumberFormat="1" applyFont="1" applyFill="1" applyBorder="1" applyAlignment="1">
      <alignment horizontal="center" vertical="center" wrapText="1"/>
    </xf>
    <xf numFmtId="4" fontId="10" fillId="7" borderId="15" xfId="0" applyNumberFormat="1" applyFont="1" applyFill="1" applyBorder="1" applyAlignment="1">
      <alignment horizontal="center" vertical="center" wrapText="1"/>
    </xf>
    <xf numFmtId="4" fontId="10" fillId="7" borderId="10" xfId="0" applyNumberFormat="1" applyFont="1" applyFill="1" applyBorder="1" applyAlignment="1">
      <alignment horizontal="center" vertical="center" wrapText="1"/>
    </xf>
    <xf numFmtId="0" fontId="9" fillId="0" borderId="3" xfId="0" applyFont="1" applyBorder="1" applyAlignment="1">
      <alignment horizontal="center" vertical="center"/>
    </xf>
    <xf numFmtId="0" fontId="9" fillId="0" borderId="18" xfId="0" applyFont="1" applyBorder="1" applyAlignment="1">
      <alignment horizontal="center" vertical="center"/>
    </xf>
    <xf numFmtId="0" fontId="9" fillId="0" borderId="19" xfId="0" applyFont="1" applyBorder="1" applyAlignment="1">
      <alignment horizontal="center" vertical="center"/>
    </xf>
    <xf numFmtId="0" fontId="9" fillId="0" borderId="22"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20" xfId="0" applyFont="1" applyBorder="1" applyAlignment="1">
      <alignment horizontal="center" vertical="center" wrapText="1"/>
    </xf>
    <xf numFmtId="4" fontId="10" fillId="7" borderId="1" xfId="0" applyNumberFormat="1" applyFont="1" applyFill="1" applyBorder="1" applyAlignment="1">
      <alignment horizontal="center" vertical="center" wrapText="1"/>
    </xf>
    <xf numFmtId="4" fontId="10" fillId="7" borderId="14" xfId="0" applyNumberFormat="1" applyFont="1" applyFill="1" applyBorder="1" applyAlignment="1">
      <alignment horizontal="center" vertical="center" wrapText="1"/>
    </xf>
    <xf numFmtId="4" fontId="10" fillId="7" borderId="9" xfId="0" applyNumberFormat="1" applyFont="1" applyFill="1" applyBorder="1" applyAlignment="1">
      <alignment horizontal="center" vertical="center" wrapText="1"/>
    </xf>
    <xf numFmtId="0" fontId="8" fillId="5" borderId="4" xfId="0" applyFont="1" applyFill="1" applyBorder="1" applyAlignment="1">
      <alignment horizontal="center" vertical="center" wrapText="1"/>
    </xf>
    <xf numFmtId="0" fontId="8" fillId="5" borderId="30" xfId="0" applyFont="1" applyFill="1" applyBorder="1" applyAlignment="1">
      <alignment horizontal="center" vertical="center" wrapText="1"/>
    </xf>
  </cellXfs>
  <cellStyles count="5">
    <cellStyle name="Hiperłącze" xfId="2" builtinId="8"/>
    <cellStyle name="Normal 2" xfId="3" xr:uid="{02889D1E-0059-463B-84FF-A296EF478A52}"/>
    <cellStyle name="Normálna 2" xfId="1" xr:uid="{00000000-0005-0000-0000-000002000000}"/>
    <cellStyle name="Normalny" xfId="0" builtinId="0"/>
    <cellStyle name="Procentowy" xfId="4" builtinId="5"/>
  </cellStyles>
  <dxfs count="9">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123824</xdr:colOff>
      <xdr:row>1</xdr:row>
      <xdr:rowOff>76201</xdr:rowOff>
    </xdr:from>
    <xdr:to>
      <xdr:col>2</xdr:col>
      <xdr:colOff>311150</xdr:colOff>
      <xdr:row>3</xdr:row>
      <xdr:rowOff>65436</xdr:rowOff>
    </xdr:to>
    <xdr:pic>
      <xdr:nvPicPr>
        <xdr:cNvPr id="11" name="Picture 10">
          <a:extLst>
            <a:ext uri="{FF2B5EF4-FFF2-40B4-BE49-F238E27FC236}">
              <a16:creationId xmlns:a16="http://schemas.microsoft.com/office/drawing/2014/main" id="{5AEDB85E-CE33-DE09-DCDC-33411B8D06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49" y="266701"/>
          <a:ext cx="1714501" cy="10782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B30B633-5E2F-472A-A49B-8C39D73A10A5}" name="Table1" displayName="Table1" ref="B3:C17" totalsRowShown="0" dataDxfId="8">
  <autoFilter ref="B3:C17" xr:uid="{0B30B633-5E2F-472A-A49B-8C39D73A10A5}"/>
  <tableColumns count="2">
    <tableColumn id="1" xr3:uid="{24C783F3-255A-4466-8F6E-B1F49D9ABF06}" name="Column1" dataDxfId="7"/>
    <tableColumn id="2" xr3:uid="{3EA260EB-EA2B-48FD-B7FF-CB19C306BA16}" name="Column2" dataDxfId="6"/>
  </tableColumns>
  <tableStyleInfo name="TableStyleMedium2" showFirstColumn="0" showLastColumn="0" showRowStripes="1" showColumnStripes="0"/>
</table>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CLIMA-MODFUND@ec.europa.eu" TargetMode="External"/><Relationship Id="rId1" Type="http://schemas.openxmlformats.org/officeDocument/2006/relationships/hyperlink" Target="mailto:Modernisation-fund@eib.org"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gov.pl/web/funduszmodernizacyjny/Programy-Priorytetowe" TargetMode="External"/><Relationship Id="rId13" Type="http://schemas.openxmlformats.org/officeDocument/2006/relationships/hyperlink" Target="https://www.gov.pl/web/funduszmodernizacyjny/Programy-Priorytetowe" TargetMode="External"/><Relationship Id="rId18" Type="http://schemas.openxmlformats.org/officeDocument/2006/relationships/hyperlink" Target="https://www.gov.pl/web/funduszmodernizacyjny/Programy-Priorytetowe" TargetMode="External"/><Relationship Id="rId26" Type="http://schemas.openxmlformats.org/officeDocument/2006/relationships/hyperlink" Target="https://www.gov.pl/web/funduszmodernizacyjny/Programy-Priorytetowe" TargetMode="External"/><Relationship Id="rId3" Type="http://schemas.openxmlformats.org/officeDocument/2006/relationships/hyperlink" Target="https://www.gov.pl/web/funduszmodernizacyjny/Programy-Priorytetowe" TargetMode="External"/><Relationship Id="rId21" Type="http://schemas.openxmlformats.org/officeDocument/2006/relationships/hyperlink" Target="https://www.gov.pl/web/funduszmodernizacyjny/Programy-Priorytetowe" TargetMode="External"/><Relationship Id="rId7" Type="http://schemas.openxmlformats.org/officeDocument/2006/relationships/hyperlink" Target="https://www.gov.pl/web/funduszmodernizacyjny/Programy-Priorytetowe" TargetMode="External"/><Relationship Id="rId12" Type="http://schemas.openxmlformats.org/officeDocument/2006/relationships/hyperlink" Target="https://www.gov.pl/web/funduszmodernizacyjny/Programy-Priorytetowe" TargetMode="External"/><Relationship Id="rId17" Type="http://schemas.openxmlformats.org/officeDocument/2006/relationships/hyperlink" Target="https://www.gov.pl/web/funduszmodernizacyjny/Programy-Priorytetowe" TargetMode="External"/><Relationship Id="rId25" Type="http://schemas.openxmlformats.org/officeDocument/2006/relationships/hyperlink" Target="https://www.gov.pl/web/funduszmodernizacyjny/Programy-Priorytetowe" TargetMode="External"/><Relationship Id="rId2" Type="http://schemas.openxmlformats.org/officeDocument/2006/relationships/hyperlink" Target="https://www.gov.pl/web/funduszmodernizacyjny/Programy-Priorytetowe" TargetMode="External"/><Relationship Id="rId16" Type="http://schemas.openxmlformats.org/officeDocument/2006/relationships/hyperlink" Target="https://www.gov.pl/web/funduszmodernizacyjny/Programy-Priorytetowe" TargetMode="External"/><Relationship Id="rId20" Type="http://schemas.openxmlformats.org/officeDocument/2006/relationships/hyperlink" Target="https://www.gov.pl/web/funduszmodernizacyjny/Programy-Priorytetowe" TargetMode="External"/><Relationship Id="rId29" Type="http://schemas.openxmlformats.org/officeDocument/2006/relationships/hyperlink" Target="https://www.gov.pl/web/funduszmodernizacyjny/konsultacje-spoleczne-dotyczace-nowych-obszarow-wsparcia-z-funduszu-modernizacyjnego-na-lata-2025-2026-z-perspektywa-do-2030-r" TargetMode="External"/><Relationship Id="rId1" Type="http://schemas.openxmlformats.org/officeDocument/2006/relationships/hyperlink" Target="https://www.gov.pl/web/funduszmodernizacyjny/Programy-Priorytetowe" TargetMode="External"/><Relationship Id="rId6" Type="http://schemas.openxmlformats.org/officeDocument/2006/relationships/hyperlink" Target="https://www.gov.pl/web/funduszmodernizacyjny/Programy-Priorytetowe" TargetMode="External"/><Relationship Id="rId11" Type="http://schemas.openxmlformats.org/officeDocument/2006/relationships/hyperlink" Target="https://www.gov.pl/web/funduszmodernizacyjny/Programy-Priorytetowe" TargetMode="External"/><Relationship Id="rId24" Type="http://schemas.openxmlformats.org/officeDocument/2006/relationships/hyperlink" Target="https://www.gov.pl/web/funduszmodernizacyjny/Programy-Priorytetowe" TargetMode="External"/><Relationship Id="rId5" Type="http://schemas.openxmlformats.org/officeDocument/2006/relationships/hyperlink" Target="https://www.gov.pl/web/funduszmodernizacyjny/Programy-Priorytetowe" TargetMode="External"/><Relationship Id="rId15" Type="http://schemas.openxmlformats.org/officeDocument/2006/relationships/hyperlink" Target="https://www.gov.pl/web/funduszmodernizacyjny/Programy-Priorytetowe" TargetMode="External"/><Relationship Id="rId23" Type="http://schemas.openxmlformats.org/officeDocument/2006/relationships/hyperlink" Target="https://www.gov.pl/web/funduszmodernizacyjny/Programy-Priorytetowe" TargetMode="External"/><Relationship Id="rId28" Type="http://schemas.openxmlformats.org/officeDocument/2006/relationships/hyperlink" Target="https://www.gov.pl/web/funduszmodernizacyjny/konsultacje-spoleczne-dotyczace-nowych-obszarow-wsparcia-z-funduszu-modernizacyjnego-na-lata-2024-2025-z-perspektywa-do-2030-r" TargetMode="External"/><Relationship Id="rId10" Type="http://schemas.openxmlformats.org/officeDocument/2006/relationships/hyperlink" Target="https://www.gov.pl/web/funduszmodernizacyjny/Programy-Priorytetowe" TargetMode="External"/><Relationship Id="rId19" Type="http://schemas.openxmlformats.org/officeDocument/2006/relationships/hyperlink" Target="https://www.gov.pl/web/funduszmodernizacyjny/Programy-Priorytetowe" TargetMode="External"/><Relationship Id="rId4" Type="http://schemas.openxmlformats.org/officeDocument/2006/relationships/hyperlink" Target="https://www.gov.pl/web/funduszmodernizacyjny/Programy-Priorytetowe" TargetMode="External"/><Relationship Id="rId9" Type="http://schemas.openxmlformats.org/officeDocument/2006/relationships/hyperlink" Target="https://www.gov.pl/web/funduszmodernizacyjny/Programy-Priorytetowe" TargetMode="External"/><Relationship Id="rId14" Type="http://schemas.openxmlformats.org/officeDocument/2006/relationships/hyperlink" Target="https://www.gov.pl/web/funduszmodernizacyjny/Programy-Priorytetowe" TargetMode="External"/><Relationship Id="rId22" Type="http://schemas.openxmlformats.org/officeDocument/2006/relationships/hyperlink" Target="https://www.gov.pl/web/funduszmodernizacyjny/Programy-Priorytetowe" TargetMode="External"/><Relationship Id="rId27" Type="http://schemas.openxmlformats.org/officeDocument/2006/relationships/hyperlink" Target="https://www.gov.pl/web/funduszmodernizacyjny/Programy-Priorytetowe" TargetMode="External"/><Relationship Id="rId30"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V38"/>
  <sheetViews>
    <sheetView showGridLines="0" topLeftCell="A18" zoomScale="90" zoomScaleNormal="90" workbookViewId="0">
      <selection activeCell="G14" sqref="G14"/>
    </sheetView>
  </sheetViews>
  <sheetFormatPr defaultColWidth="0" defaultRowHeight="14.4" zeroHeight="1"/>
  <cols>
    <col min="1" max="1" width="3.5546875" style="2" customWidth="1"/>
    <col min="2" max="2" width="21.88671875" style="2" customWidth="1"/>
    <col min="3" max="3" width="20.33203125" style="2" customWidth="1"/>
    <col min="4" max="4" width="20.88671875" style="2" customWidth="1"/>
    <col min="5" max="5" width="18.5546875" style="2" customWidth="1"/>
    <col min="6" max="6" width="17.44140625" style="2" customWidth="1"/>
    <col min="7" max="7" width="16.88671875" style="2" customWidth="1"/>
    <col min="8" max="8" width="18.109375" style="2" customWidth="1"/>
    <col min="9" max="9" width="21.33203125" style="2" customWidth="1"/>
    <col min="10" max="10" width="3.88671875" style="2" customWidth="1"/>
    <col min="11" max="12" width="44.5546875" style="2" hidden="1" customWidth="1"/>
    <col min="13" max="24" width="44.5546875" style="4" hidden="1" customWidth="1"/>
    <col min="25" max="25" width="44.5546875" style="2" hidden="1" customWidth="1"/>
    <col min="26" max="26" width="8.88671875" style="1" hidden="1" customWidth="1"/>
    <col min="27" max="16384" width="8.88671875" style="1" hidden="1"/>
  </cols>
  <sheetData>
    <row r="1" spans="1:102">
      <c r="A1" s="198"/>
      <c r="B1" s="198"/>
      <c r="C1" s="198"/>
      <c r="D1" s="198"/>
      <c r="E1" s="198"/>
      <c r="F1" s="198"/>
      <c r="G1" s="198"/>
      <c r="H1" s="198"/>
      <c r="I1" s="198"/>
      <c r="J1" s="198"/>
      <c r="K1" s="4"/>
      <c r="L1" s="4"/>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row>
    <row r="2" spans="1:102" ht="60.75" customHeight="1">
      <c r="A2" s="198"/>
      <c r="B2" s="195" t="s">
        <v>0</v>
      </c>
      <c r="C2" s="195"/>
      <c r="D2" s="195"/>
      <c r="E2" s="196"/>
      <c r="F2" s="196"/>
      <c r="G2" s="196"/>
      <c r="H2" s="196"/>
      <c r="I2" s="196"/>
      <c r="J2" s="198"/>
      <c r="K2" s="4"/>
      <c r="L2" s="4"/>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row>
    <row r="3" spans="1:102" ht="24.75" customHeight="1">
      <c r="A3" s="198"/>
      <c r="B3" s="197" t="s">
        <v>1</v>
      </c>
      <c r="C3" s="197"/>
      <c r="D3" s="197"/>
      <c r="E3" s="196"/>
      <c r="F3" s="196"/>
      <c r="G3" s="196"/>
      <c r="H3" s="196"/>
      <c r="I3" s="196"/>
      <c r="J3" s="198"/>
      <c r="K3" s="4"/>
      <c r="L3" s="4"/>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row>
    <row r="4" spans="1:102" ht="53.25" customHeight="1">
      <c r="A4" s="198"/>
      <c r="B4" s="193" t="s">
        <v>2</v>
      </c>
      <c r="C4" s="193"/>
      <c r="D4" s="194"/>
      <c r="E4" s="194"/>
      <c r="F4" s="194"/>
      <c r="G4" s="194"/>
      <c r="H4" s="194"/>
      <c r="I4" s="194"/>
      <c r="J4" s="198"/>
      <c r="K4" s="13"/>
      <c r="L4" s="4"/>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row>
    <row r="5" spans="1:102" ht="78.900000000000006" customHeight="1">
      <c r="A5" s="198"/>
      <c r="B5" s="193" t="s">
        <v>3</v>
      </c>
      <c r="C5" s="193"/>
      <c r="D5" s="194"/>
      <c r="E5" s="194"/>
      <c r="F5" s="194"/>
      <c r="G5" s="194"/>
      <c r="H5" s="194"/>
      <c r="I5" s="194"/>
      <c r="J5" s="198"/>
      <c r="K5" s="13"/>
      <c r="L5" s="4"/>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row>
    <row r="6" spans="1:102" ht="66.599999999999994" customHeight="1">
      <c r="A6" s="198"/>
      <c r="B6" s="193" t="s">
        <v>4</v>
      </c>
      <c r="C6" s="193"/>
      <c r="D6" s="194"/>
      <c r="E6" s="194"/>
      <c r="F6" s="194"/>
      <c r="G6" s="194"/>
      <c r="H6" s="194"/>
      <c r="I6" s="194"/>
      <c r="J6" s="198"/>
      <c r="K6" s="13"/>
      <c r="L6" s="4"/>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row>
    <row r="7" spans="1:102" ht="41.4" customHeight="1">
      <c r="A7" s="198"/>
      <c r="B7" s="193" t="s">
        <v>5</v>
      </c>
      <c r="C7" s="193"/>
      <c r="D7" s="194"/>
      <c r="E7" s="194"/>
      <c r="F7" s="194"/>
      <c r="G7" s="194"/>
      <c r="H7" s="194"/>
      <c r="I7" s="194"/>
      <c r="J7" s="198"/>
      <c r="K7" s="13"/>
      <c r="L7" s="4"/>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row>
    <row r="8" spans="1:102" ht="51.6" customHeight="1">
      <c r="A8" s="198"/>
      <c r="B8" s="193" t="s">
        <v>6</v>
      </c>
      <c r="C8" s="193"/>
      <c r="D8" s="200"/>
      <c r="E8" s="194"/>
      <c r="F8" s="194"/>
      <c r="G8" s="194"/>
      <c r="H8" s="194"/>
      <c r="I8" s="194"/>
      <c r="J8" s="198"/>
      <c r="K8" s="13"/>
      <c r="L8" s="4"/>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row>
    <row r="9" spans="1:102" ht="9" customHeight="1">
      <c r="A9" s="198"/>
      <c r="B9" s="78"/>
      <c r="C9" s="78"/>
      <c r="D9" s="101"/>
      <c r="E9" s="101"/>
      <c r="F9" s="101"/>
      <c r="G9" s="101"/>
      <c r="H9" s="101"/>
      <c r="I9" s="101"/>
      <c r="J9" s="198"/>
      <c r="K9" s="13"/>
      <c r="L9" s="4"/>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row>
    <row r="10" spans="1:102" ht="39.75" customHeight="1" thickBot="1">
      <c r="A10" s="198"/>
      <c r="B10" s="203" t="s">
        <v>7</v>
      </c>
      <c r="C10" s="203"/>
      <c r="D10" s="204"/>
      <c r="E10" s="85"/>
      <c r="F10" s="85"/>
      <c r="G10" s="85"/>
      <c r="H10" s="85"/>
      <c r="I10" s="85"/>
      <c r="J10" s="198"/>
      <c r="K10" s="13"/>
      <c r="L10" s="4"/>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row>
    <row r="11" spans="1:102" ht="96.6">
      <c r="A11" s="198"/>
      <c r="B11" s="211"/>
      <c r="C11" s="212"/>
      <c r="D11" s="213"/>
      <c r="E11" s="92" t="s">
        <v>8</v>
      </c>
      <c r="F11" s="90" t="s">
        <v>9</v>
      </c>
      <c r="G11" s="92" t="s">
        <v>10</v>
      </c>
      <c r="H11" s="92" t="s">
        <v>11</v>
      </c>
      <c r="I11" s="91" t="s">
        <v>12</v>
      </c>
      <c r="J11" s="198"/>
      <c r="K11" s="13"/>
      <c r="L11" s="4"/>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row>
    <row r="12" spans="1:102" ht="27.9" customHeight="1">
      <c r="A12" s="198"/>
      <c r="B12" s="207" t="s">
        <v>13</v>
      </c>
      <c r="C12" s="214" t="s">
        <v>14</v>
      </c>
      <c r="D12" s="215"/>
      <c r="E12" s="102">
        <f>SUM(F12:I12)</f>
        <v>27</v>
      </c>
      <c r="F12" s="102">
        <f>COUNTIFS('Annual Report'!H3:H1048576,"Ongoing: confirmed but not started",'Annual Report'!E3:E1048576,"Priority")+
COUNTIFS('Annual Report'!H3:H1048576,"Ongoing: tendering phase",'Annual Report'!E3:E1048576,"Priority") + COUNTIFS('Annual Report'!H3:H1048576,"Ongoing: construction phase",'Annual Report'!E3:E1048576,"Priority")</f>
        <v>27</v>
      </c>
      <c r="G12" s="102">
        <f>COUNTIFS('Annual Report'!H3:H1048576,"Completed (for schemes)",'Annual Report'!E3:E1048576,"Priority") + COUNTIFS('Annual Report'!H3:H1048576,"Entered into operation (for investments other than schemes)",'Annual Report'!E3:E1048576,"Priority")</f>
        <v>0</v>
      </c>
      <c r="H12" s="102">
        <f>COUNTIFS('Annual Report'!G3:G1048576,"Partially discontinued",'Annual Report'!E3:E1048576,"Priority")</f>
        <v>0</v>
      </c>
      <c r="I12" s="103">
        <f>COUNTIFS('Annual Report'!G3:G1048576,"Fully discontinued",'Annual Report'!E3:E1048576,"Priority")</f>
        <v>0</v>
      </c>
      <c r="J12" s="198"/>
      <c r="K12" s="13"/>
      <c r="L12" s="4"/>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row>
    <row r="13" spans="1:102" ht="43.5" customHeight="1">
      <c r="A13" s="198"/>
      <c r="B13" s="208"/>
      <c r="C13" s="214" t="s">
        <v>15</v>
      </c>
      <c r="D13" s="215"/>
      <c r="E13" s="104">
        <f>SUM(F13:I13)</f>
        <v>4154160000</v>
      </c>
      <c r="F13" s="104" cm="1">
        <f t="array" ref="F13">SUM(
   SUMIFS('Annual Report'!R:R, 'Annual Report'!E:E, "Priority", 'Annual Report'!H:H, {"Ongoing: confirmed but not started","Ongoing: tendering phase","Ongoing: construction phase"}),
   SUMIFS('Annual Report'!S:S, 'Annual Report'!E:E, "Priority", 'Annual Report'!H:H, {"Ongoing: confirmed but not started","Ongoing: tendering phase","Ongoing: construction phase"}),
   SUMIFS('Annual Report'!T:T, 'Annual Report'!E:E, "Priority", 'Annual Report'!H:H, {"Ongoing: confirmed but not started","Ongoing: tendering phase","Ongoing: construction phase"})
)</f>
        <v>4154160000</v>
      </c>
      <c r="G13" s="104" cm="1">
        <f t="array" ref="G13">SUM(
   SUMIFS('Annual Report'!R:R, 'Annual Report'!E:E, "Priority", 'Annual Report'!H:H, {"Completed (for schemes)","Entered into operation (for investments other than schemes)"}),
   SUMIFS('Annual Report'!S:S, 'Annual Report'!E:E, "Priority", 'Annual Report'!H:H, {"Completed (for schemes)","Entered into operation (for investments other than schemes)"}),
   SUMIFS('Annual Report'!T:T, 'Annual Report'!E:E, "Priority", 'Annual Report'!H:H, {"Completed (for schemes)","Entered into operation (for investments other than schemes)"})
)</f>
        <v>0</v>
      </c>
      <c r="H13" s="104">
        <f>SUMIFS('Annual Report'!R:R, 'Annual Report'!E:E, "Priority", 'Annual Report'!G:G, "Partially discontinued") +
SUMIFS('Annual Report'!S:S, 'Annual Report'!E:E, "Priority", 'Annual Report'!G:G, "Partially discontinued") +
SUMIFS('Annual Report'!T:T, 'Annual Report'!E:E, "Priority", 'Annual Report'!G:G, "Partially discontinued")</f>
        <v>0</v>
      </c>
      <c r="I13" s="105">
        <f>SUMIFS('Annual Report'!R:R, 'Annual Report'!E:E, "Priority", 'Annual Report'!G:G, "Fully discontinued") +
SUMIFS('Annual Report'!S:S, 'Annual Report'!E:E, "Priority", 'Annual Report'!G:G, "Fully discontinued") +
SUMIFS('Annual Report'!T:T, 'Annual Report'!E:E, "Priority", 'Annual Report'!G:G, "Fully discontinued")</f>
        <v>0</v>
      </c>
      <c r="J13" s="198"/>
      <c r="K13" s="13"/>
      <c r="L13" s="4"/>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row>
    <row r="14" spans="1:102" ht="25.5" customHeight="1">
      <c r="A14" s="198"/>
      <c r="B14" s="207" t="s">
        <v>16</v>
      </c>
      <c r="C14" s="214" t="s">
        <v>14</v>
      </c>
      <c r="D14" s="215"/>
      <c r="E14" s="102">
        <f>SUM(F14:I14)</f>
        <v>3</v>
      </c>
      <c r="F14" s="102">
        <f>COUNTIFS('Annual Report'!H3:H1048576,"Ongoing: confirmed but not started",'Annual Report'!E3:E1048576,"Non-Priority")+
COUNTIFS('Annual Report'!H3:H1048576,"Ongoing: tendering phase",'Annual Report'!E3:E1048576,"Non-Priority") + COUNTIFS('Annual Report'!H3:H1048576,"Ongoing: construction phase",'Annual Report'!E3:E1048576,"Non-Priority")</f>
        <v>3</v>
      </c>
      <c r="G14" s="102">
        <f>COUNTIFS('Annual Report'!H3:H1048576,"Completed (for schemes)",'Annual Report'!E3:E1048576,"Non-Priority") + COUNTIFS('Annual Report'!H3:H1048576,"Entered into operation (for investments other than schemes)",'Annual Report'!E3:E1048576,"Non-Priority")</f>
        <v>0</v>
      </c>
      <c r="H14" s="102">
        <f>COUNTIFS('Annual Report'!G3:G1048576,"Partially discontinued",'Annual Report'!E3:E1048576,"Non-Priority")</f>
        <v>0</v>
      </c>
      <c r="I14" s="103">
        <f>COUNTIFS('Annual Report'!G3:G1048576,"Fully discontinued",'Annual Report'!E3:E1048576,"Non-Priority")</f>
        <v>0</v>
      </c>
      <c r="J14" s="198"/>
      <c r="K14" s="13"/>
      <c r="L14" s="4"/>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row>
    <row r="15" spans="1:102" ht="46.5" customHeight="1" thickBot="1">
      <c r="A15" s="198"/>
      <c r="B15" s="208"/>
      <c r="C15" s="214" t="s">
        <v>15</v>
      </c>
      <c r="D15" s="215"/>
      <c r="E15" s="106">
        <f>SUM(F15:I15)</f>
        <v>229355555</v>
      </c>
      <c r="F15" s="106" cm="1">
        <f t="array" ref="F15">SUM(
   SUMIFS('Annual Report'!R:R, 'Annual Report'!E:E, "Non-Priority", 'Annual Report'!H:H, {"Ongoing: confirmed but not started","Ongoing: tendering phase","Ongoing: construction phase"}),
   SUMIFS('Annual Report'!S:S, 'Annual Report'!E:E, "Non-Priority", 'Annual Report'!H:H, {"Ongoing: confirmed but not started","Ongoing: tendering phase","Ongoing: construction phase"}),
   SUMIFS('Annual Report'!T:T, 'Annual Report'!E:E, "Non-Priority", 'Annual Report'!H:H, {"Ongoing: confirmed but not started","Ongoing: tendering phase","Ongoing: construction phase"})
)</f>
        <v>229355555</v>
      </c>
      <c r="G15" s="106" cm="1">
        <f t="array" ref="G15">SUM(
   SUMIFS('Annual Report'!R:R, 'Annual Report'!E:E, "Non-Priority", 'Annual Report'!H:H, {"Completed (for schemes)","Entered into operation (for investments other than schemes)"}),
   SUMIFS('Annual Report'!S:S, 'Annual Report'!E:E, "Non-Priority", 'Annual Report'!H:H, {"Completed (for schemes)","Entered into operation (for investments other than schemes)"}),
   SUMIFS('Annual Report'!T:T, 'Annual Report'!E:E, "Non-Priority", 'Annual Report'!H:H, {"Completed (for schemes)","Entered into operation (for investments other than schemes)"})
)</f>
        <v>0</v>
      </c>
      <c r="H15" s="106">
        <f>SUMIFS('Annual Report'!R:R, 'Annual Report'!E:E, "Non-Priority", 'Annual Report'!G:G, "Partially discontinued") +
SUMIFS('Annual Report'!S:S, 'Annual Report'!E:E, "Non-Priority", 'Annual Report'!G:G, "Partially discontinued") +
SUMIFS('Annual Report'!T:T, 'Annual Report'!E:E, "Non-Priority", 'Annual Report'!G:G, "Partially discontinued")</f>
        <v>0</v>
      </c>
      <c r="I15" s="107">
        <f>SUMIFS('Annual Report'!R:R, 'Annual Report'!E:E, "Non-Priority", 'Annual Report'!G:G, "Fully discontinued") +
SUMIFS('Annual Report'!S:S, 'Annual Report'!E:E, "Non-Priority", 'Annual Report'!G:G, "Fully discontinued") +
SUMIFS('Annual Report'!T:T, 'Annual Report'!E:E, "Non-Priority", 'Annual Report'!G:G, "Fully discontinued")</f>
        <v>0</v>
      </c>
      <c r="J15" s="198"/>
      <c r="K15" s="13"/>
      <c r="L15" s="4"/>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row>
    <row r="16" spans="1:102" ht="60.6" customHeight="1">
      <c r="A16" s="198"/>
      <c r="B16" s="200" t="s">
        <v>17</v>
      </c>
      <c r="C16" s="200"/>
      <c r="D16" s="200"/>
      <c r="E16" s="101"/>
      <c r="F16" s="205" t="s">
        <v>18</v>
      </c>
      <c r="G16" s="206"/>
      <c r="H16" s="206"/>
      <c r="I16" s="206"/>
      <c r="J16" s="198"/>
      <c r="K16" s="4"/>
      <c r="L16" s="4"/>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row>
    <row r="17" spans="1:102" ht="17.25" customHeight="1">
      <c r="A17" s="198"/>
      <c r="B17" s="201" t="s">
        <v>19</v>
      </c>
      <c r="C17" s="201"/>
      <c r="D17" s="201"/>
      <c r="E17" s="80"/>
      <c r="F17" s="206"/>
      <c r="G17" s="206"/>
      <c r="H17" s="206"/>
      <c r="I17" s="206"/>
      <c r="J17" s="198"/>
      <c r="K17" s="4"/>
      <c r="L17" s="4"/>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row>
    <row r="18" spans="1:102" ht="16.5" customHeight="1">
      <c r="A18" s="198"/>
      <c r="B18" s="194" t="s">
        <v>20</v>
      </c>
      <c r="C18" s="194"/>
      <c r="D18" s="194"/>
      <c r="E18" s="79"/>
      <c r="F18" s="206"/>
      <c r="G18" s="206"/>
      <c r="H18" s="206"/>
      <c r="I18" s="206"/>
      <c r="J18" s="198"/>
      <c r="K18" s="4"/>
      <c r="L18" s="4"/>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row>
    <row r="19" spans="1:102" ht="21.75" customHeight="1">
      <c r="A19" s="198"/>
      <c r="B19" s="202" t="s">
        <v>21</v>
      </c>
      <c r="C19" s="202"/>
      <c r="D19" s="202"/>
      <c r="E19" s="81"/>
      <c r="F19" s="206"/>
      <c r="G19" s="206"/>
      <c r="H19" s="206"/>
      <c r="I19" s="206"/>
      <c r="J19" s="198"/>
      <c r="K19" s="4"/>
      <c r="L19" s="4"/>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row>
    <row r="20" spans="1:102" ht="57" customHeight="1" thickBot="1">
      <c r="A20" s="198"/>
      <c r="B20" s="20" t="s">
        <v>22</v>
      </c>
      <c r="C20" s="20"/>
      <c r="D20" s="21" t="s">
        <v>23</v>
      </c>
      <c r="E20" s="86"/>
      <c r="F20" s="206"/>
      <c r="G20" s="206"/>
      <c r="H20" s="206"/>
      <c r="I20" s="206"/>
      <c r="J20" s="198"/>
      <c r="K20" s="4"/>
      <c r="L20" s="4"/>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row>
    <row r="21" spans="1:102" ht="42" customHeight="1" thickBot="1">
      <c r="A21" s="198"/>
      <c r="B21" s="22">
        <v>2025</v>
      </c>
      <c r="C21" s="209" t="s">
        <v>24</v>
      </c>
      <c r="D21" s="210"/>
      <c r="E21" s="86"/>
      <c r="F21" s="206"/>
      <c r="G21" s="206"/>
      <c r="H21" s="206"/>
      <c r="I21" s="206"/>
      <c r="J21" s="198"/>
      <c r="K21" s="108" t="s">
        <v>25</v>
      </c>
      <c r="L21" s="4"/>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row>
    <row r="22" spans="1:102" ht="42" customHeight="1">
      <c r="A22" s="198"/>
      <c r="B22" s="1"/>
      <c r="C22" s="93"/>
      <c r="D22" s="94"/>
      <c r="E22" s="95"/>
      <c r="F22" s="206"/>
      <c r="G22" s="206"/>
      <c r="H22" s="206"/>
      <c r="I22" s="206"/>
      <c r="J22" s="198"/>
      <c r="K22" s="108"/>
      <c r="L22" s="4"/>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row>
    <row r="23" spans="1:102" ht="86.4">
      <c r="A23" s="198"/>
      <c r="B23" s="96" t="s">
        <v>26</v>
      </c>
      <c r="C23" s="97" t="s">
        <v>27</v>
      </c>
      <c r="D23" s="97" t="s">
        <v>28</v>
      </c>
      <c r="E23" s="97" t="s">
        <v>29</v>
      </c>
      <c r="F23" s="206"/>
      <c r="G23" s="206"/>
      <c r="H23" s="206"/>
      <c r="I23" s="206"/>
      <c r="J23" s="198"/>
      <c r="K23" s="108"/>
      <c r="L23" s="4"/>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row>
    <row r="24" spans="1:102" ht="42" customHeight="1">
      <c r="A24" s="198"/>
      <c r="B24" s="98" t="s">
        <v>30</v>
      </c>
      <c r="C24" s="99">
        <f>(SUMIFS('Annual Report'!R:R,'Annual Report'!E:E,"Priority")/SUM('Annual Report'!R:R))</f>
        <v>0.92330271676112374</v>
      </c>
      <c r="D24" s="100">
        <f>(SUMIFS('Annual Report'!S:S,'Annual Report'!E:E,"Priority")/SUM('Annual Report'!S:S))</f>
        <v>0.96866694405054043</v>
      </c>
      <c r="E24" s="100" t="e">
        <f>(SUMIFS('Annual Report'!T:T,'Annual Report'!E:E,"Priority")/SUM('Annual Report'!T:T))</f>
        <v>#DIV/0!</v>
      </c>
      <c r="F24" s="206"/>
      <c r="G24" s="206"/>
      <c r="H24" s="206"/>
      <c r="I24" s="206"/>
      <c r="J24" s="198"/>
      <c r="K24" s="108"/>
      <c r="L24" s="4"/>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row>
    <row r="25" spans="1:102" ht="19.5" customHeight="1">
      <c r="A25" s="198"/>
      <c r="B25" s="89"/>
      <c r="C25" s="19"/>
      <c r="D25" s="109" t="s">
        <v>31</v>
      </c>
      <c r="E25" s="3"/>
      <c r="F25" s="206"/>
      <c r="G25" s="206"/>
      <c r="H25" s="206"/>
      <c r="I25" s="206"/>
      <c r="J25" s="198"/>
      <c r="K25" s="4"/>
      <c r="L25" s="4"/>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row>
    <row r="26" spans="1:102">
      <c r="A26" s="198"/>
      <c r="B26" s="88"/>
      <c r="C26" s="18"/>
      <c r="D26" s="11"/>
      <c r="E26" s="11"/>
      <c r="F26" s="11"/>
      <c r="G26" s="11"/>
      <c r="H26" s="11"/>
      <c r="I26" s="11"/>
      <c r="J26" s="198"/>
      <c r="K26" s="4"/>
      <c r="L26" s="4"/>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row>
    <row r="27" spans="1:102" ht="18" hidden="1">
      <c r="A27" s="4"/>
      <c r="B27" s="87"/>
      <c r="C27" s="4"/>
      <c r="D27" s="6"/>
      <c r="E27" s="6"/>
      <c r="F27" s="6"/>
      <c r="G27" s="6"/>
      <c r="H27" s="6"/>
      <c r="I27" s="6"/>
      <c r="J27" s="4"/>
      <c r="K27" s="4"/>
      <c r="L27" s="4"/>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row>
    <row r="28" spans="1:102" hidden="1">
      <c r="A28" s="4"/>
      <c r="B28" s="87"/>
      <c r="C28" s="4"/>
      <c r="D28" s="5"/>
      <c r="E28" s="5"/>
      <c r="F28" s="5"/>
      <c r="G28" s="5"/>
      <c r="H28" s="5"/>
      <c r="I28" s="5"/>
      <c r="J28" s="4"/>
      <c r="K28" s="4"/>
      <c r="L28" s="4"/>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row>
    <row r="29" spans="1:102" hidden="1">
      <c r="A29" s="4"/>
      <c r="B29" s="87"/>
      <c r="C29" s="4"/>
      <c r="D29" s="7"/>
      <c r="E29" s="7"/>
      <c r="F29" s="7"/>
      <c r="G29" s="7"/>
      <c r="H29" s="7"/>
      <c r="I29" s="7"/>
      <c r="J29" s="4"/>
      <c r="K29" s="4"/>
      <c r="L29" s="4"/>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row>
    <row r="30" spans="1:102" hidden="1">
      <c r="A30" s="4"/>
      <c r="B30" s="4"/>
      <c r="C30" s="4"/>
      <c r="D30" s="8"/>
      <c r="E30" s="8"/>
      <c r="F30" s="8"/>
      <c r="G30" s="8"/>
      <c r="H30" s="8"/>
      <c r="I30" s="8"/>
      <c r="J30" s="4"/>
      <c r="K30" s="4"/>
      <c r="L30" s="4"/>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row>
    <row r="31" spans="1:102" hidden="1">
      <c r="A31" s="4"/>
      <c r="B31" s="4"/>
      <c r="C31" s="4"/>
      <c r="D31" s="8"/>
      <c r="E31" s="8"/>
      <c r="F31" s="8"/>
      <c r="G31" s="8"/>
      <c r="H31" s="8"/>
      <c r="I31" s="8"/>
      <c r="J31" s="4"/>
      <c r="K31" s="4"/>
      <c r="L31" s="4"/>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row>
    <row r="32" spans="1:102" hidden="1">
      <c r="A32" s="4"/>
      <c r="B32" s="4"/>
      <c r="C32" s="4"/>
      <c r="D32" s="9"/>
      <c r="E32" s="9"/>
      <c r="F32" s="9"/>
      <c r="G32" s="9"/>
      <c r="H32" s="9"/>
      <c r="I32" s="9"/>
      <c r="J32" s="4"/>
      <c r="K32" s="4"/>
      <c r="L32" s="4"/>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row>
    <row r="33" spans="1:282" hidden="1">
      <c r="A33" s="4"/>
      <c r="B33" s="4"/>
      <c r="C33" s="4"/>
      <c r="D33" s="10"/>
      <c r="E33" s="10"/>
      <c r="F33" s="10"/>
      <c r="G33" s="10"/>
      <c r="H33" s="10"/>
      <c r="I33" s="10"/>
      <c r="J33" s="4"/>
      <c r="K33" s="4"/>
      <c r="L33" s="4"/>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row>
    <row r="34" spans="1:282" ht="66" hidden="1" customHeight="1">
      <c r="A34" s="199"/>
      <c r="B34" s="199"/>
      <c r="C34" s="199"/>
      <c r="D34" s="199"/>
      <c r="E34" s="199"/>
      <c r="F34" s="199"/>
      <c r="G34" s="199"/>
      <c r="H34" s="199"/>
      <c r="I34" s="199"/>
      <c r="J34" s="199"/>
      <c r="K34" s="4"/>
      <c r="L34" s="4"/>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row>
    <row r="35" spans="1:282" hidden="1">
      <c r="A35" s="4"/>
      <c r="B35" s="4"/>
      <c r="C35" s="4"/>
      <c r="D35" s="4"/>
      <c r="E35" s="4"/>
      <c r="F35" s="4"/>
      <c r="G35" s="4"/>
      <c r="H35" s="4"/>
      <c r="I35" s="4"/>
      <c r="J35" s="4"/>
      <c r="K35" s="4"/>
      <c r="L35" s="4"/>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row>
    <row r="36" spans="1:282" hidden="1">
      <c r="A36" s="4"/>
      <c r="B36" s="4"/>
      <c r="C36" s="4"/>
      <c r="D36" s="4"/>
      <c r="E36" s="4"/>
      <c r="F36" s="4"/>
      <c r="G36" s="4"/>
      <c r="H36" s="4"/>
      <c r="I36" s="4"/>
      <c r="J36" s="4"/>
      <c r="K36" s="4"/>
      <c r="L36" s="4"/>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row>
    <row r="37" spans="1:282" hidden="1">
      <c r="A37" s="4"/>
      <c r="B37" s="4"/>
      <c r="C37" s="4"/>
      <c r="D37" s="4"/>
      <c r="E37" s="4"/>
      <c r="F37" s="4"/>
      <c r="G37" s="4"/>
      <c r="H37" s="4"/>
      <c r="I37" s="4"/>
      <c r="J37" s="4"/>
      <c r="K37" s="4"/>
      <c r="L37" s="4"/>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row>
    <row r="38" spans="1:282" hidden="1">
      <c r="A38" s="4"/>
      <c r="B38" s="4"/>
      <c r="C38" s="4"/>
      <c r="D38" s="4"/>
      <c r="E38" s="4"/>
      <c r="F38" s="4"/>
      <c r="G38" s="4"/>
      <c r="H38" s="4"/>
      <c r="I38" s="4"/>
      <c r="J38" s="4"/>
      <c r="K38" s="4"/>
      <c r="L38" s="4"/>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row>
  </sheetData>
  <mergeCells count="25">
    <mergeCell ref="F16:I25"/>
    <mergeCell ref="B12:B13"/>
    <mergeCell ref="B14:B15"/>
    <mergeCell ref="C21:D21"/>
    <mergeCell ref="B11:D11"/>
    <mergeCell ref="C12:D12"/>
    <mergeCell ref="C13:D13"/>
    <mergeCell ref="C14:D14"/>
    <mergeCell ref="C15:D15"/>
    <mergeCell ref="B4:I4"/>
    <mergeCell ref="B2:I2"/>
    <mergeCell ref="B3:I3"/>
    <mergeCell ref="A1:J1"/>
    <mergeCell ref="A34:J34"/>
    <mergeCell ref="A2:A26"/>
    <mergeCell ref="J2:J26"/>
    <mergeCell ref="B16:D16"/>
    <mergeCell ref="B18:D18"/>
    <mergeCell ref="B17:D17"/>
    <mergeCell ref="B19:D19"/>
    <mergeCell ref="B10:D10"/>
    <mergeCell ref="B8:I8"/>
    <mergeCell ref="B7:I7"/>
    <mergeCell ref="B6:I6"/>
    <mergeCell ref="B5:I5"/>
  </mergeCells>
  <dataValidations count="3">
    <dataValidation operator="equal" allowBlank="1" showInputMessage="1" showErrorMessage="1" sqref="E21:E22" xr:uid="{EFD87997-B009-4B96-A64D-3139615E9B9F}"/>
    <dataValidation type="custom" allowBlank="1" showInputMessage="1" showErrorMessage="1" errorTitle="DO NOT EDIT" error="Please do not edit these cells, they will be automatically updated based on the values inserted in the sheet &quot;Annual Report&quot;. Thank you!" sqref="B11:I15" xr:uid="{21694C3A-514D-4AAE-9DD0-653330CEDE84}">
      <formula1>"X"</formula1>
    </dataValidation>
    <dataValidation type="custom" allowBlank="1" showInputMessage="1" showErrorMessage="1" errorTitle="DO NOT EDIT" error="Please do not edit these cells. They will be automatically updated based on the values inserted in the sheet &quot;Annual Report&quot;. Thank you!" sqref="B23:E24" xr:uid="{1B9A6759-E2DC-49D4-9C43-7BB49DDBB343}">
      <formula1>"X"</formula1>
    </dataValidation>
  </dataValidations>
  <hyperlinks>
    <hyperlink ref="B19" r:id="rId1" xr:uid="{7AF2421E-4B81-49B3-AF93-3F6ABB17BF4B}"/>
    <hyperlink ref="B17" r:id="rId2" xr:uid="{06C55FDB-1F02-403C-BF4C-68BC67BA44CB}"/>
  </hyperlinks>
  <pageMargins left="0.7" right="0.7" top="0.75" bottom="0.75" header="0.3" footer="0.3"/>
  <pageSetup paperSize="9" orientation="portrait" r:id="rId3"/>
  <drawing r:id="rId4"/>
  <extLst>
    <ext xmlns:x14="http://schemas.microsoft.com/office/spreadsheetml/2009/9/main" uri="{CCE6A557-97BC-4b89-ADB6-D9C93CAAB3DF}">
      <x14:dataValidations xmlns:xm="http://schemas.microsoft.com/office/excel/2006/main" count="2">
        <x14:dataValidation type="list" allowBlank="1" showInputMessage="1" showErrorMessage="1" xr:uid="{69246D8A-36FA-4C65-B172-45CD990C6C20}">
          <x14:formula1>
            <xm:f>'Dropdown Menu'!$B$4:$B$17</xm:f>
          </x14:formula1>
          <xm:sqref>C21:C22</xm:sqref>
        </x14:dataValidation>
        <x14:dataValidation type="list" allowBlank="1" showInputMessage="1" showErrorMessage="1" xr:uid="{74B59555-1185-410C-8055-B572C3F2EBB6}">
          <x14:formula1>
            <xm:f>'Dropdown Menu'!$C$4:$C$13</xm:f>
          </x14:formula1>
          <xm:sqref>B21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E1D1D-856E-4E55-94A4-1D94E8297831}">
  <dimension ref="A1:AT40"/>
  <sheetViews>
    <sheetView tabSelected="1" topLeftCell="A3" zoomScale="70" zoomScaleNormal="70" workbookViewId="0">
      <pane xSplit="1" topLeftCell="B1" activePane="topRight" state="frozen"/>
      <selection activeCell="A3" sqref="A3"/>
      <selection pane="topRight" activeCell="A3" sqref="A1:D1048576"/>
    </sheetView>
  </sheetViews>
  <sheetFormatPr defaultRowHeight="14.4"/>
  <cols>
    <col min="2" max="2" width="25.44140625" customWidth="1"/>
    <col min="3" max="3" width="25.6640625" customWidth="1"/>
    <col min="4" max="4" width="51" style="118" customWidth="1"/>
    <col min="5" max="6" width="14.5546875" hidden="1" customWidth="1"/>
    <col min="7" max="10" width="14.5546875" style="111" hidden="1" customWidth="1"/>
    <col min="11" max="11" width="25.5546875" style="94" hidden="1" customWidth="1"/>
    <col min="12" max="12" width="25.5546875" hidden="1" customWidth="1"/>
    <col min="13" max="13" width="25.5546875" style="159" hidden="1" customWidth="1"/>
    <col min="14" max="14" width="14.5546875" hidden="1" customWidth="1"/>
    <col min="15" max="15" width="18.88671875" customWidth="1"/>
    <col min="16" max="16" width="18.6640625" customWidth="1"/>
    <col min="17" max="17" width="21.109375" customWidth="1"/>
    <col min="18" max="19" width="20.33203125" style="133" customWidth="1"/>
    <col min="20" max="20" width="17" style="128" customWidth="1"/>
    <col min="21" max="21" width="24.88671875" customWidth="1"/>
    <col min="22" max="22" width="16.109375" style="128" customWidth="1"/>
    <col min="23" max="23" width="25" customWidth="1"/>
    <col min="24" max="24" width="22.6640625" style="128" customWidth="1"/>
    <col min="25" max="25" width="19.5546875" style="111" customWidth="1"/>
    <col min="26" max="26" width="19.88671875" style="135" customWidth="1"/>
    <col min="27" max="27" width="19.88671875" customWidth="1"/>
    <col min="28" max="28" width="18.44140625" style="155" customWidth="1"/>
    <col min="29" max="29" width="20.33203125" style="82" customWidth="1"/>
    <col min="30" max="30" width="14.88671875" style="113" customWidth="1"/>
    <col min="31" max="31" width="21.21875" style="83" customWidth="1"/>
    <col min="32" max="32" width="18.109375" style="83" customWidth="1"/>
    <col min="33" max="33" width="16" style="157" customWidth="1"/>
    <col min="34" max="34" width="14.5546875" style="157" customWidth="1"/>
    <col min="35" max="35" width="20.5546875" style="114" customWidth="1"/>
    <col min="36" max="36" width="19" style="114" customWidth="1"/>
    <col min="37" max="37" width="18.5546875" style="115" customWidth="1"/>
    <col min="38" max="38" width="20.44140625" style="115" customWidth="1"/>
    <col min="39" max="39" width="27.88671875" style="123" customWidth="1"/>
    <col min="40" max="40" width="24.88671875" customWidth="1"/>
    <col min="41" max="41" width="21.44140625" customWidth="1"/>
    <col min="42" max="43" width="34.44140625" customWidth="1"/>
    <col min="44" max="44" width="32.44140625" customWidth="1"/>
    <col min="45" max="45" width="27.44140625" style="123" customWidth="1"/>
    <col min="46" max="46" width="29.44140625" customWidth="1"/>
  </cols>
  <sheetData>
    <row r="1" spans="1:46" ht="15" hidden="1" thickBot="1">
      <c r="A1" s="167">
        <v>4.2805999999999997</v>
      </c>
      <c r="W1" s="138"/>
      <c r="Z1" s="83"/>
      <c r="AA1" s="84"/>
      <c r="AB1" s="83"/>
      <c r="AC1" s="84"/>
    </row>
    <row r="2" spans="1:46" ht="32.1" customHeight="1">
      <c r="A2" s="186" t="s">
        <v>32</v>
      </c>
      <c r="B2" s="187"/>
      <c r="C2" s="187"/>
      <c r="D2" s="187"/>
      <c r="E2" s="187"/>
      <c r="F2" s="187"/>
      <c r="G2" s="187"/>
      <c r="H2" s="187"/>
      <c r="I2" s="187"/>
      <c r="J2" s="187"/>
      <c r="K2" s="187"/>
      <c r="L2" s="187"/>
      <c r="M2" s="187"/>
      <c r="N2" s="187"/>
      <c r="O2" s="179" t="s">
        <v>33</v>
      </c>
      <c r="P2" s="179"/>
      <c r="Q2" s="179"/>
      <c r="R2" s="179"/>
      <c r="S2" s="179"/>
      <c r="T2" s="179"/>
      <c r="U2" s="179"/>
      <c r="V2" s="179"/>
      <c r="W2" s="179"/>
      <c r="X2" s="179"/>
      <c r="Y2" s="179"/>
      <c r="Z2" s="179"/>
      <c r="AA2" s="179"/>
      <c r="AB2" s="177" t="s">
        <v>34</v>
      </c>
      <c r="AC2" s="177"/>
      <c r="AD2" s="177"/>
      <c r="AE2" s="177"/>
      <c r="AF2" s="177"/>
      <c r="AG2" s="177"/>
      <c r="AH2" s="177"/>
      <c r="AI2" s="177"/>
      <c r="AJ2" s="177"/>
      <c r="AK2" s="177"/>
      <c r="AL2" s="177"/>
      <c r="AM2" s="180" t="s">
        <v>35</v>
      </c>
      <c r="AN2" s="180"/>
      <c r="AO2" s="180"/>
      <c r="AP2" s="180"/>
      <c r="AQ2" s="180"/>
      <c r="AR2" s="180"/>
      <c r="AS2" s="180"/>
      <c r="AT2" s="180"/>
    </row>
    <row r="3" spans="1:46" ht="64.5" customHeight="1">
      <c r="A3" s="188" t="s">
        <v>14</v>
      </c>
      <c r="B3" s="178" t="s">
        <v>36</v>
      </c>
      <c r="C3" s="184" t="s">
        <v>37</v>
      </c>
      <c r="D3" s="184" t="s">
        <v>38</v>
      </c>
      <c r="E3" s="188" t="s">
        <v>39</v>
      </c>
      <c r="F3" s="184" t="s">
        <v>40</v>
      </c>
      <c r="G3" s="189" t="s">
        <v>41</v>
      </c>
      <c r="H3" s="189" t="s">
        <v>42</v>
      </c>
      <c r="I3" s="189" t="s">
        <v>43</v>
      </c>
      <c r="J3" s="189" t="s">
        <v>44</v>
      </c>
      <c r="K3" s="185" t="s">
        <v>45</v>
      </c>
      <c r="L3" s="184" t="s">
        <v>46</v>
      </c>
      <c r="M3" s="191" t="s">
        <v>47</v>
      </c>
      <c r="N3" s="184" t="s">
        <v>48</v>
      </c>
      <c r="O3" s="188" t="s">
        <v>49</v>
      </c>
      <c r="P3" s="184" t="s">
        <v>50</v>
      </c>
      <c r="Q3" s="184" t="s">
        <v>51</v>
      </c>
      <c r="R3" s="189" t="s">
        <v>15</v>
      </c>
      <c r="S3" s="190"/>
      <c r="T3" s="190"/>
      <c r="U3" s="184" t="s">
        <v>52</v>
      </c>
      <c r="V3" s="139"/>
      <c r="W3" s="184" t="s">
        <v>53</v>
      </c>
      <c r="X3" s="139"/>
      <c r="Y3" s="139"/>
      <c r="Z3" s="183" t="s">
        <v>361</v>
      </c>
      <c r="AA3" s="178" t="s">
        <v>362</v>
      </c>
      <c r="AB3" s="181" t="s">
        <v>54</v>
      </c>
      <c r="AC3" s="181"/>
      <c r="AD3" s="181"/>
      <c r="AE3" s="181"/>
      <c r="AF3" s="181"/>
      <c r="AG3" s="181"/>
      <c r="AH3" s="181"/>
      <c r="AI3" s="181"/>
      <c r="AJ3" s="181"/>
      <c r="AK3" s="181"/>
      <c r="AL3" s="181"/>
      <c r="AM3" s="181" t="s">
        <v>55</v>
      </c>
      <c r="AN3" s="181" t="s">
        <v>56</v>
      </c>
      <c r="AO3" s="181" t="s">
        <v>57</v>
      </c>
      <c r="AP3" s="181" t="s">
        <v>58</v>
      </c>
      <c r="AQ3" s="181" t="s">
        <v>59</v>
      </c>
      <c r="AR3" s="181" t="s">
        <v>60</v>
      </c>
      <c r="AS3" s="181" t="s">
        <v>61</v>
      </c>
      <c r="AT3" s="181" t="s">
        <v>62</v>
      </c>
    </row>
    <row r="4" spans="1:46" ht="93" customHeight="1">
      <c r="A4" s="188"/>
      <c r="B4" s="178"/>
      <c r="C4" s="184"/>
      <c r="D4" s="184"/>
      <c r="E4" s="188"/>
      <c r="F4" s="184"/>
      <c r="G4" s="190"/>
      <c r="H4" s="189"/>
      <c r="I4" s="189"/>
      <c r="J4" s="189"/>
      <c r="K4" s="185"/>
      <c r="L4" s="184"/>
      <c r="M4" s="191" t="s">
        <v>47</v>
      </c>
      <c r="N4" s="184"/>
      <c r="O4" s="188"/>
      <c r="P4" s="184"/>
      <c r="Q4" s="184"/>
      <c r="R4" s="190"/>
      <c r="S4" s="190"/>
      <c r="T4" s="190"/>
      <c r="U4" s="184"/>
      <c r="V4" s="139" t="s">
        <v>63</v>
      </c>
      <c r="W4" s="184"/>
      <c r="X4" s="139" t="s">
        <v>64</v>
      </c>
      <c r="Y4" s="139" t="s">
        <v>65</v>
      </c>
      <c r="Z4" s="183"/>
      <c r="AA4" s="178"/>
      <c r="AB4" s="181" t="s">
        <v>66</v>
      </c>
      <c r="AC4" s="181"/>
      <c r="AD4" s="192"/>
      <c r="AE4" s="181" t="s">
        <v>67</v>
      </c>
      <c r="AF4" s="181"/>
      <c r="AG4" s="181" t="s">
        <v>68</v>
      </c>
      <c r="AH4" s="181"/>
      <c r="AI4" s="182" t="s">
        <v>69</v>
      </c>
      <c r="AJ4" s="182"/>
      <c r="AK4" s="182" t="s">
        <v>70</v>
      </c>
      <c r="AL4" s="182"/>
      <c r="AM4" s="181"/>
      <c r="AN4" s="181"/>
      <c r="AO4" s="181"/>
      <c r="AP4" s="181"/>
      <c r="AQ4" s="181"/>
      <c r="AR4" s="181"/>
      <c r="AS4" s="181"/>
      <c r="AT4" s="181"/>
    </row>
    <row r="5" spans="1:46" ht="124.8">
      <c r="A5" s="188"/>
      <c r="B5" s="178"/>
      <c r="C5" s="184"/>
      <c r="D5" s="184"/>
      <c r="E5" s="188"/>
      <c r="F5" s="184"/>
      <c r="G5" s="190"/>
      <c r="H5" s="189"/>
      <c r="I5" s="189"/>
      <c r="J5" s="189"/>
      <c r="K5" s="185"/>
      <c r="L5" s="184"/>
      <c r="M5" s="191"/>
      <c r="N5" s="184"/>
      <c r="O5" s="188"/>
      <c r="P5" s="184"/>
      <c r="Q5" s="184"/>
      <c r="R5" s="139" t="s">
        <v>71</v>
      </c>
      <c r="S5" s="139" t="s">
        <v>72</v>
      </c>
      <c r="T5" s="139" t="s">
        <v>73</v>
      </c>
      <c r="U5" s="184"/>
      <c r="V5" s="139"/>
      <c r="W5" s="184"/>
      <c r="X5" s="139"/>
      <c r="Y5" s="139"/>
      <c r="Z5" s="183"/>
      <c r="AA5" s="178"/>
      <c r="AB5" s="140" t="s">
        <v>74</v>
      </c>
      <c r="AC5" s="140" t="s">
        <v>75</v>
      </c>
      <c r="AD5" s="112" t="s">
        <v>76</v>
      </c>
      <c r="AE5" s="140" t="s">
        <v>74</v>
      </c>
      <c r="AF5" s="140" t="s">
        <v>75</v>
      </c>
      <c r="AG5" s="140" t="s">
        <v>74</v>
      </c>
      <c r="AH5" s="140" t="s">
        <v>75</v>
      </c>
      <c r="AI5" s="112" t="s">
        <v>74</v>
      </c>
      <c r="AJ5" s="112" t="s">
        <v>75</v>
      </c>
      <c r="AK5" s="112" t="s">
        <v>74</v>
      </c>
      <c r="AL5" s="112" t="s">
        <v>75</v>
      </c>
      <c r="AM5" s="181"/>
      <c r="AN5" s="181"/>
      <c r="AO5" s="181"/>
      <c r="AP5" s="181"/>
      <c r="AQ5" s="181"/>
      <c r="AR5" s="181"/>
      <c r="AS5" s="181"/>
      <c r="AT5" s="181"/>
    </row>
    <row r="6" spans="1:46" ht="171.6">
      <c r="A6" s="141">
        <v>1</v>
      </c>
      <c r="B6" s="116" t="s">
        <v>77</v>
      </c>
      <c r="C6" s="116"/>
      <c r="D6" s="119" t="s">
        <v>78</v>
      </c>
      <c r="E6" s="116" t="s">
        <v>79</v>
      </c>
      <c r="F6" s="77" t="s">
        <v>80</v>
      </c>
      <c r="G6" s="112" t="s">
        <v>81</v>
      </c>
      <c r="H6" s="112" t="s">
        <v>82</v>
      </c>
      <c r="I6" s="112" t="s">
        <v>83</v>
      </c>
      <c r="J6" s="112" t="s">
        <v>84</v>
      </c>
      <c r="K6" s="121" t="s">
        <v>85</v>
      </c>
      <c r="L6" s="119" t="s">
        <v>86</v>
      </c>
      <c r="M6" s="146" t="s">
        <v>87</v>
      </c>
      <c r="N6" s="77" t="s">
        <v>24</v>
      </c>
      <c r="O6" s="142">
        <f t="shared" ref="O6:O14" si="0">P6*1.23</f>
        <v>123000000</v>
      </c>
      <c r="P6" s="142">
        <v>100000000</v>
      </c>
      <c r="Q6" s="142">
        <v>25000000</v>
      </c>
      <c r="R6" s="168">
        <v>25000000</v>
      </c>
      <c r="S6" s="168"/>
      <c r="T6" s="164"/>
      <c r="U6" s="134">
        <f>33745079/A1</f>
        <v>7883259.1225529136</v>
      </c>
      <c r="V6" s="160" t="s">
        <v>88</v>
      </c>
      <c r="W6" s="41">
        <f>2258796/A1</f>
        <v>527682.10064009717</v>
      </c>
      <c r="X6" s="169">
        <v>45135</v>
      </c>
      <c r="Y6" s="170">
        <v>45265</v>
      </c>
      <c r="Z6" s="165">
        <f>0/A$1</f>
        <v>0</v>
      </c>
      <c r="AA6" s="166" t="s">
        <v>89</v>
      </c>
      <c r="AB6" s="147">
        <v>5326</v>
      </c>
      <c r="AC6" s="53">
        <v>152778</v>
      </c>
      <c r="AD6" s="175">
        <f>AB6/AC6</f>
        <v>3.4861040202123342E-2</v>
      </c>
      <c r="AE6" s="54">
        <v>1783</v>
      </c>
      <c r="AF6" s="54">
        <v>45000</v>
      </c>
      <c r="AG6" s="156" t="s">
        <v>89</v>
      </c>
      <c r="AH6" s="156" t="s">
        <v>89</v>
      </c>
      <c r="AI6" s="176">
        <f>O6/AE6</f>
        <v>68984.856982613579</v>
      </c>
      <c r="AJ6" s="176">
        <f>O6/AF6</f>
        <v>2733.3333333333335</v>
      </c>
      <c r="AK6" s="176">
        <f>SUM(R6+S6+T6)/AE6</f>
        <v>14021.312394840157</v>
      </c>
      <c r="AL6" s="176">
        <f>SUM(R6+S6+T6)/AF6</f>
        <v>555.55555555555554</v>
      </c>
      <c r="AM6" s="144" t="s">
        <v>90</v>
      </c>
      <c r="AN6" s="126" t="s">
        <v>91</v>
      </c>
      <c r="AO6" s="130" t="s">
        <v>92</v>
      </c>
      <c r="AP6" s="130" t="s">
        <v>93</v>
      </c>
      <c r="AQ6" s="130" t="s">
        <v>92</v>
      </c>
      <c r="AR6" s="130" t="s">
        <v>94</v>
      </c>
      <c r="AS6" s="145" t="s">
        <v>95</v>
      </c>
      <c r="AT6" s="130" t="s">
        <v>95</v>
      </c>
    </row>
    <row r="7" spans="1:46" ht="153.6" customHeight="1">
      <c r="A7" s="141">
        <v>2</v>
      </c>
      <c r="B7" s="116" t="s">
        <v>96</v>
      </c>
      <c r="C7" s="116" t="s">
        <v>97</v>
      </c>
      <c r="D7" s="119" t="s">
        <v>98</v>
      </c>
      <c r="E7" s="116" t="s">
        <v>79</v>
      </c>
      <c r="F7" s="77" t="s">
        <v>99</v>
      </c>
      <c r="G7" s="112" t="s">
        <v>81</v>
      </c>
      <c r="H7" s="112" t="s">
        <v>82</v>
      </c>
      <c r="I7" s="112" t="s">
        <v>100</v>
      </c>
      <c r="J7" s="112" t="s">
        <v>84</v>
      </c>
      <c r="K7" s="121" t="s">
        <v>85</v>
      </c>
      <c r="L7" s="119" t="s">
        <v>101</v>
      </c>
      <c r="M7" s="146" t="s">
        <v>102</v>
      </c>
      <c r="N7" s="77" t="s">
        <v>24</v>
      </c>
      <c r="O7" s="142">
        <f t="shared" si="0"/>
        <v>373920000</v>
      </c>
      <c r="P7" s="142">
        <v>304000000</v>
      </c>
      <c r="Q7" s="142">
        <v>222000000</v>
      </c>
      <c r="R7" s="168">
        <f>44000000+178000000</f>
        <v>222000000</v>
      </c>
      <c r="S7" s="168"/>
      <c r="T7" s="164"/>
      <c r="U7" s="134">
        <f>976067367/A1</f>
        <v>228021157.54800731</v>
      </c>
      <c r="V7" s="161" t="s">
        <v>103</v>
      </c>
      <c r="W7" s="41">
        <f>471159301/A1</f>
        <v>110068518.66560763</v>
      </c>
      <c r="X7" s="169">
        <v>45135</v>
      </c>
      <c r="Y7" s="169">
        <v>46003</v>
      </c>
      <c r="Z7" s="165">
        <f>1414705.74/A1</f>
        <v>330492.39358968369</v>
      </c>
      <c r="AA7" s="143" t="s">
        <v>89</v>
      </c>
      <c r="AB7" s="147">
        <v>513849.73</v>
      </c>
      <c r="AC7" s="53" t="s">
        <v>89</v>
      </c>
      <c r="AD7" s="175" t="s">
        <v>89</v>
      </c>
      <c r="AE7" s="54">
        <v>276124</v>
      </c>
      <c r="AF7" s="54">
        <v>362000</v>
      </c>
      <c r="AG7" s="156" t="s">
        <v>89</v>
      </c>
      <c r="AH7" s="156" t="s">
        <v>89</v>
      </c>
      <c r="AI7" s="176">
        <f t="shared" ref="AI7:AI29" si="1">O7/AE7</f>
        <v>1354.1742115860991</v>
      </c>
      <c r="AJ7" s="176">
        <f t="shared" ref="AJ7:AJ29" si="2">O7/AF7</f>
        <v>1032.9281767955802</v>
      </c>
      <c r="AK7" s="174">
        <f t="shared" ref="AK7:AK29" si="3">SUM(R7+S7+T7)/AE7</f>
        <v>803.98661470933348</v>
      </c>
      <c r="AL7" s="174">
        <f t="shared" ref="AL7:AL29" si="4">SUM(R7+S7+T7)/AF7</f>
        <v>613.25966850828729</v>
      </c>
      <c r="AM7" s="144" t="s">
        <v>90</v>
      </c>
      <c r="AN7" s="126" t="s">
        <v>104</v>
      </c>
      <c r="AO7" s="130" t="s">
        <v>92</v>
      </c>
      <c r="AP7" s="130" t="s">
        <v>93</v>
      </c>
      <c r="AQ7" s="130" t="s">
        <v>92</v>
      </c>
      <c r="AR7" s="130" t="s">
        <v>94</v>
      </c>
      <c r="AS7" s="145" t="s">
        <v>95</v>
      </c>
      <c r="AT7" s="130" t="s">
        <v>95</v>
      </c>
    </row>
    <row r="8" spans="1:46" ht="147" customHeight="1">
      <c r="A8" s="141">
        <v>3</v>
      </c>
      <c r="B8" s="116" t="s">
        <v>105</v>
      </c>
      <c r="C8" s="116" t="s">
        <v>106</v>
      </c>
      <c r="D8" s="119" t="s">
        <v>107</v>
      </c>
      <c r="E8" s="116" t="s">
        <v>79</v>
      </c>
      <c r="F8" s="77" t="s">
        <v>99</v>
      </c>
      <c r="G8" s="112" t="s">
        <v>81</v>
      </c>
      <c r="H8" s="112" t="s">
        <v>82</v>
      </c>
      <c r="I8" s="112" t="s">
        <v>108</v>
      </c>
      <c r="J8" s="112" t="s">
        <v>84</v>
      </c>
      <c r="K8" s="121" t="s">
        <v>85</v>
      </c>
      <c r="L8" s="119" t="s">
        <v>109</v>
      </c>
      <c r="M8" s="146" t="s">
        <v>102</v>
      </c>
      <c r="N8" s="77" t="s">
        <v>24</v>
      </c>
      <c r="O8" s="142">
        <f t="shared" si="0"/>
        <v>455100000</v>
      </c>
      <c r="P8" s="142">
        <v>370000000</v>
      </c>
      <c r="Q8" s="142">
        <v>222000000</v>
      </c>
      <c r="R8" s="168">
        <f>22000000+105000000</f>
        <v>127000000</v>
      </c>
      <c r="S8" s="168"/>
      <c r="T8" s="164"/>
      <c r="U8" s="134">
        <f>768615492/A1</f>
        <v>179557887.21207309</v>
      </c>
      <c r="V8" s="162" t="s">
        <v>110</v>
      </c>
      <c r="W8" s="41">
        <f>312770261/A1</f>
        <v>73066920.758772135</v>
      </c>
      <c r="X8" s="169">
        <v>45133</v>
      </c>
      <c r="Y8" s="169">
        <v>46014</v>
      </c>
      <c r="Z8" s="165">
        <f>0/A1</f>
        <v>0</v>
      </c>
      <c r="AA8" s="143" t="s">
        <v>89</v>
      </c>
      <c r="AB8" s="147" t="s">
        <v>89</v>
      </c>
      <c r="AC8" s="53" t="s">
        <v>89</v>
      </c>
      <c r="AD8" s="175" t="s">
        <v>89</v>
      </c>
      <c r="AE8" s="54">
        <v>19071</v>
      </c>
      <c r="AF8" s="54">
        <v>3443</v>
      </c>
      <c r="AG8" s="156" t="s">
        <v>89</v>
      </c>
      <c r="AH8" s="156" t="s">
        <v>89</v>
      </c>
      <c r="AI8" s="176">
        <f t="shared" si="1"/>
        <v>23863.457605788895</v>
      </c>
      <c r="AJ8" s="176">
        <f t="shared" si="2"/>
        <v>132181.23729305837</v>
      </c>
      <c r="AK8" s="174">
        <f t="shared" si="3"/>
        <v>6659.325677730586</v>
      </c>
      <c r="AL8" s="174">
        <f t="shared" si="4"/>
        <v>36886.436247458609</v>
      </c>
      <c r="AM8" s="144" t="s">
        <v>90</v>
      </c>
      <c r="AN8" s="126" t="s">
        <v>111</v>
      </c>
      <c r="AO8" s="130" t="s">
        <v>92</v>
      </c>
      <c r="AP8" s="130" t="s">
        <v>93</v>
      </c>
      <c r="AQ8" s="130" t="s">
        <v>92</v>
      </c>
      <c r="AR8" s="130" t="s">
        <v>94</v>
      </c>
      <c r="AS8" s="145" t="s">
        <v>95</v>
      </c>
      <c r="AT8" s="130" t="s">
        <v>95</v>
      </c>
    </row>
    <row r="9" spans="1:46" ht="115.2">
      <c r="A9" s="141">
        <v>4</v>
      </c>
      <c r="B9" s="116" t="s">
        <v>112</v>
      </c>
      <c r="C9" s="116" t="s">
        <v>113</v>
      </c>
      <c r="D9" s="119" t="s">
        <v>114</v>
      </c>
      <c r="E9" s="116" t="s">
        <v>79</v>
      </c>
      <c r="F9" s="77" t="s">
        <v>99</v>
      </c>
      <c r="G9" s="112" t="s">
        <v>81</v>
      </c>
      <c r="H9" s="112" t="s">
        <v>82</v>
      </c>
      <c r="I9" s="112" t="s">
        <v>115</v>
      </c>
      <c r="J9" s="112" t="s">
        <v>116</v>
      </c>
      <c r="K9" s="121" t="s">
        <v>85</v>
      </c>
      <c r="L9" s="119" t="s">
        <v>117</v>
      </c>
      <c r="M9" s="146" t="s">
        <v>118</v>
      </c>
      <c r="N9" s="77" t="s">
        <v>24</v>
      </c>
      <c r="O9" s="142">
        <f t="shared" si="0"/>
        <v>546120000</v>
      </c>
      <c r="P9" s="142">
        <v>444000000</v>
      </c>
      <c r="Q9" s="142">
        <v>444000000</v>
      </c>
      <c r="R9" s="168">
        <f>44440000+24700000</f>
        <v>69140000</v>
      </c>
      <c r="S9" s="168"/>
      <c r="T9" s="164"/>
      <c r="U9" s="134">
        <f>131804645/A1</f>
        <v>30791161.285801057</v>
      </c>
      <c r="V9" s="162" t="s">
        <v>119</v>
      </c>
      <c r="W9" s="41">
        <f>2000000/A1</f>
        <v>467224.22090361168</v>
      </c>
      <c r="X9" s="169">
        <v>45260</v>
      </c>
      <c r="Y9" s="169">
        <v>45260</v>
      </c>
      <c r="Z9" s="165">
        <f>2000000/A1</f>
        <v>467224.22090361168</v>
      </c>
      <c r="AA9" s="143" t="s">
        <v>89</v>
      </c>
      <c r="AB9" s="147">
        <v>185987</v>
      </c>
      <c r="AC9" s="53">
        <v>2660000</v>
      </c>
      <c r="AD9" s="175">
        <f>AB9/AC9</f>
        <v>6.9919924812030076E-2</v>
      </c>
      <c r="AE9" s="54">
        <v>287563</v>
      </c>
      <c r="AF9" s="54">
        <v>3192000</v>
      </c>
      <c r="AG9" s="156" t="s">
        <v>89</v>
      </c>
      <c r="AH9" s="156" t="s">
        <v>120</v>
      </c>
      <c r="AI9" s="176">
        <f t="shared" si="1"/>
        <v>1899.1316685387203</v>
      </c>
      <c r="AJ9" s="176">
        <f t="shared" si="2"/>
        <v>171.09022556390977</v>
      </c>
      <c r="AK9" s="174">
        <f t="shared" si="3"/>
        <v>240.4342700556052</v>
      </c>
      <c r="AL9" s="174">
        <f t="shared" si="4"/>
        <v>21.660401002506266</v>
      </c>
      <c r="AM9" s="144" t="s">
        <v>90</v>
      </c>
      <c r="AN9" s="126" t="s">
        <v>121</v>
      </c>
      <c r="AO9" s="130" t="s">
        <v>92</v>
      </c>
      <c r="AP9" s="130" t="s">
        <v>93</v>
      </c>
      <c r="AQ9" s="130" t="s">
        <v>92</v>
      </c>
      <c r="AR9" s="130" t="s">
        <v>94</v>
      </c>
      <c r="AS9" s="145" t="s">
        <v>95</v>
      </c>
      <c r="AT9" s="130" t="s">
        <v>95</v>
      </c>
    </row>
    <row r="10" spans="1:46" ht="115.2">
      <c r="A10" s="141">
        <v>5</v>
      </c>
      <c r="B10" s="116" t="s">
        <v>122</v>
      </c>
      <c r="C10" s="116"/>
      <c r="D10" s="119" t="s">
        <v>123</v>
      </c>
      <c r="E10" s="116" t="s">
        <v>79</v>
      </c>
      <c r="F10" s="77" t="s">
        <v>99</v>
      </c>
      <c r="G10" s="112" t="s">
        <v>81</v>
      </c>
      <c r="H10" s="112" t="s">
        <v>124</v>
      </c>
      <c r="I10" s="112" t="s">
        <v>115</v>
      </c>
      <c r="J10" s="112" t="s">
        <v>116</v>
      </c>
      <c r="K10" s="121" t="s">
        <v>85</v>
      </c>
      <c r="L10" s="119" t="s">
        <v>125</v>
      </c>
      <c r="M10" s="146" t="s">
        <v>118</v>
      </c>
      <c r="N10" s="77" t="s">
        <v>24</v>
      </c>
      <c r="O10" s="142">
        <f t="shared" si="0"/>
        <v>410820000</v>
      </c>
      <c r="P10" s="142">
        <f>334000000</f>
        <v>334000000</v>
      </c>
      <c r="Q10" s="142">
        <v>334000000</v>
      </c>
      <c r="R10" s="168"/>
      <c r="S10" s="168">
        <v>44570000</v>
      </c>
      <c r="T10" s="164"/>
      <c r="U10" s="134">
        <f>26801000/A1</f>
        <v>6261038.172218848</v>
      </c>
      <c r="V10" s="162" t="s">
        <v>126</v>
      </c>
      <c r="W10" s="41">
        <f>0/A1</f>
        <v>0</v>
      </c>
      <c r="X10" s="171" t="s">
        <v>89</v>
      </c>
      <c r="Y10" s="171" t="s">
        <v>89</v>
      </c>
      <c r="Z10" s="165">
        <v>0</v>
      </c>
      <c r="AA10" s="143" t="s">
        <v>89</v>
      </c>
      <c r="AB10" s="147">
        <v>15896</v>
      </c>
      <c r="AC10" s="53">
        <v>2006667</v>
      </c>
      <c r="AD10" s="175">
        <f>AB10/AC10</f>
        <v>7.9215933685060844E-3</v>
      </c>
      <c r="AE10" s="54">
        <v>12877</v>
      </c>
      <c r="AF10" s="54">
        <v>2408000</v>
      </c>
      <c r="AG10" s="156" t="s">
        <v>89</v>
      </c>
      <c r="AH10" s="156" t="s">
        <v>89</v>
      </c>
      <c r="AI10" s="176">
        <f t="shared" si="1"/>
        <v>31903.393647588724</v>
      </c>
      <c r="AJ10" s="176">
        <f t="shared" si="2"/>
        <v>170.60631229235881</v>
      </c>
      <c r="AK10" s="174">
        <f t="shared" si="3"/>
        <v>3461.2099091403279</v>
      </c>
      <c r="AL10" s="174">
        <f t="shared" si="4"/>
        <v>18.509136212624586</v>
      </c>
      <c r="AM10" s="144" t="s">
        <v>90</v>
      </c>
      <c r="AN10" s="126" t="s">
        <v>127</v>
      </c>
      <c r="AO10" s="130" t="s">
        <v>92</v>
      </c>
      <c r="AP10" s="130" t="s">
        <v>93</v>
      </c>
      <c r="AQ10" s="130" t="s">
        <v>92</v>
      </c>
      <c r="AR10" s="130" t="s">
        <v>94</v>
      </c>
      <c r="AS10" s="145" t="s">
        <v>95</v>
      </c>
      <c r="AT10" s="130" t="s">
        <v>128</v>
      </c>
    </row>
    <row r="11" spans="1:46" ht="140.4">
      <c r="A11" s="141">
        <v>6</v>
      </c>
      <c r="B11" s="116" t="s">
        <v>129</v>
      </c>
      <c r="C11" s="117"/>
      <c r="D11" s="119" t="s">
        <v>130</v>
      </c>
      <c r="E11" s="116" t="s">
        <v>79</v>
      </c>
      <c r="F11" s="77" t="s">
        <v>99</v>
      </c>
      <c r="G11" s="112" t="s">
        <v>81</v>
      </c>
      <c r="H11" s="112" t="s">
        <v>82</v>
      </c>
      <c r="I11" s="112" t="s">
        <v>115</v>
      </c>
      <c r="J11" s="112" t="s">
        <v>116</v>
      </c>
      <c r="K11" s="121" t="s">
        <v>85</v>
      </c>
      <c r="L11" s="119" t="s">
        <v>131</v>
      </c>
      <c r="M11" s="146" t="s">
        <v>132</v>
      </c>
      <c r="N11" s="77" t="s">
        <v>24</v>
      </c>
      <c r="O11" s="142">
        <f t="shared" si="0"/>
        <v>819991800</v>
      </c>
      <c r="P11" s="142">
        <v>666660000</v>
      </c>
      <c r="Q11" s="142">
        <v>666660000</v>
      </c>
      <c r="R11" s="168">
        <f>66600000</f>
        <v>66600000</v>
      </c>
      <c r="S11" s="168"/>
      <c r="T11" s="164"/>
      <c r="U11" s="134">
        <f>160553908/A1</f>
        <v>37507337.289165072</v>
      </c>
      <c r="V11" s="162" t="s">
        <v>133</v>
      </c>
      <c r="W11" s="41">
        <f>10000/A1</f>
        <v>2336.1211045180585</v>
      </c>
      <c r="X11" s="169">
        <v>45268</v>
      </c>
      <c r="Y11" s="169">
        <v>45268</v>
      </c>
      <c r="Z11" s="165">
        <v>0</v>
      </c>
      <c r="AA11" s="143" t="s">
        <v>89</v>
      </c>
      <c r="AB11" s="147">
        <v>406703</v>
      </c>
      <c r="AC11" s="53">
        <v>4166667</v>
      </c>
      <c r="AD11" s="175">
        <f>AB11/AC11</f>
        <v>9.7608712191303029E-2</v>
      </c>
      <c r="AE11" s="54">
        <v>66828</v>
      </c>
      <c r="AF11" s="54">
        <v>6000000</v>
      </c>
      <c r="AG11" s="156" t="s">
        <v>89</v>
      </c>
      <c r="AH11" s="156" t="s">
        <v>89</v>
      </c>
      <c r="AI11" s="176">
        <f t="shared" si="1"/>
        <v>12270.183156760639</v>
      </c>
      <c r="AJ11" s="176">
        <f t="shared" si="2"/>
        <v>136.6653</v>
      </c>
      <c r="AK11" s="174">
        <f t="shared" si="3"/>
        <v>996.58825641946487</v>
      </c>
      <c r="AL11" s="174">
        <f t="shared" si="4"/>
        <v>11.1</v>
      </c>
      <c r="AM11" s="144" t="s">
        <v>90</v>
      </c>
      <c r="AN11" s="126" t="s">
        <v>134</v>
      </c>
      <c r="AO11" s="130" t="s">
        <v>92</v>
      </c>
      <c r="AP11" s="130" t="s">
        <v>93</v>
      </c>
      <c r="AQ11" s="130" t="s">
        <v>92</v>
      </c>
      <c r="AR11" s="130" t="s">
        <v>94</v>
      </c>
      <c r="AS11" s="145" t="s">
        <v>95</v>
      </c>
      <c r="AT11" s="130" t="s">
        <v>95</v>
      </c>
    </row>
    <row r="12" spans="1:46" ht="115.2">
      <c r="A12" s="141">
        <v>7</v>
      </c>
      <c r="B12" s="116" t="s">
        <v>135</v>
      </c>
      <c r="C12" s="116" t="s">
        <v>136</v>
      </c>
      <c r="D12" s="119" t="s">
        <v>137</v>
      </c>
      <c r="E12" s="116" t="s">
        <v>79</v>
      </c>
      <c r="F12" s="77" t="s">
        <v>80</v>
      </c>
      <c r="G12" s="146" t="s">
        <v>81</v>
      </c>
      <c r="H12" s="146" t="s">
        <v>124</v>
      </c>
      <c r="I12" s="146" t="s">
        <v>115</v>
      </c>
      <c r="J12" s="146" t="s">
        <v>116</v>
      </c>
      <c r="K12" s="121" t="s">
        <v>85</v>
      </c>
      <c r="L12" s="119" t="s">
        <v>138</v>
      </c>
      <c r="M12" s="146" t="s">
        <v>132</v>
      </c>
      <c r="N12" s="77" t="s">
        <v>24</v>
      </c>
      <c r="O12" s="142">
        <f t="shared" si="0"/>
        <v>27330600</v>
      </c>
      <c r="P12" s="142">
        <v>22220000</v>
      </c>
      <c r="Q12" s="142">
        <v>22220000</v>
      </c>
      <c r="R12" s="168">
        <v>20000000</v>
      </c>
      <c r="S12" s="168">
        <f>2220000</f>
        <v>2220000</v>
      </c>
      <c r="T12" s="164"/>
      <c r="U12" s="134">
        <f>105224980/A1</f>
        <v>24581829.650049061</v>
      </c>
      <c r="V12" s="162" t="s">
        <v>139</v>
      </c>
      <c r="W12" s="41">
        <f>84179984/A1</f>
        <v>19665463.720039248</v>
      </c>
      <c r="X12" s="169">
        <v>45533</v>
      </c>
      <c r="Y12" s="169">
        <v>46007</v>
      </c>
      <c r="Z12" s="165">
        <f>15106103.61/A1</f>
        <v>3528968.7450357429</v>
      </c>
      <c r="AA12" s="53" t="s">
        <v>89</v>
      </c>
      <c r="AB12" s="147">
        <v>77268</v>
      </c>
      <c r="AC12" s="53">
        <v>55556</v>
      </c>
      <c r="AD12" s="175">
        <f>AB12/AC12</f>
        <v>1.390812873497012</v>
      </c>
      <c r="AE12" s="54">
        <v>39309</v>
      </c>
      <c r="AF12" s="54">
        <v>60000</v>
      </c>
      <c r="AG12" s="156">
        <v>7.35</v>
      </c>
      <c r="AH12" s="156" t="s">
        <v>89</v>
      </c>
      <c r="AI12" s="176">
        <f t="shared" si="1"/>
        <v>695.27589101732428</v>
      </c>
      <c r="AJ12" s="176">
        <f t="shared" si="2"/>
        <v>455.51</v>
      </c>
      <c r="AK12" s="174">
        <f t="shared" si="3"/>
        <v>565.26495204660512</v>
      </c>
      <c r="AL12" s="174">
        <f t="shared" si="4"/>
        <v>370.33333333333331</v>
      </c>
      <c r="AM12" s="144" t="s">
        <v>90</v>
      </c>
      <c r="AN12" s="130" t="s">
        <v>140</v>
      </c>
      <c r="AO12" s="130" t="s">
        <v>92</v>
      </c>
      <c r="AP12" s="130" t="s">
        <v>93</v>
      </c>
      <c r="AQ12" s="130" t="s">
        <v>92</v>
      </c>
      <c r="AR12" s="130" t="s">
        <v>94</v>
      </c>
      <c r="AS12" s="145" t="s">
        <v>95</v>
      </c>
      <c r="AT12" s="130" t="s">
        <v>95</v>
      </c>
    </row>
    <row r="13" spans="1:46" ht="88.2" customHeight="1">
      <c r="A13" s="141">
        <v>8</v>
      </c>
      <c r="B13" s="116" t="s">
        <v>141</v>
      </c>
      <c r="C13" s="116"/>
      <c r="D13" s="119" t="s">
        <v>142</v>
      </c>
      <c r="E13" s="116" t="s">
        <v>79</v>
      </c>
      <c r="F13" s="77" t="s">
        <v>99</v>
      </c>
      <c r="G13" s="112" t="s">
        <v>81</v>
      </c>
      <c r="H13" s="112" t="s">
        <v>82</v>
      </c>
      <c r="I13" s="112" t="s">
        <v>115</v>
      </c>
      <c r="J13" s="112" t="s">
        <v>116</v>
      </c>
      <c r="K13" s="121" t="s">
        <v>85</v>
      </c>
      <c r="L13" s="120" t="s">
        <v>143</v>
      </c>
      <c r="M13" s="146" t="s">
        <v>132</v>
      </c>
      <c r="N13" s="77" t="s">
        <v>24</v>
      </c>
      <c r="O13" s="142">
        <f t="shared" si="0"/>
        <v>136665300</v>
      </c>
      <c r="P13" s="142">
        <v>111110000</v>
      </c>
      <c r="Q13" s="142">
        <v>111110000</v>
      </c>
      <c r="R13" s="168">
        <v>33300000</v>
      </c>
      <c r="S13" s="168"/>
      <c r="T13" s="164"/>
      <c r="U13" s="134">
        <f>189801500/A1</f>
        <v>44339928.981918424</v>
      </c>
      <c r="V13" s="162" t="s">
        <v>144</v>
      </c>
      <c r="W13" s="41">
        <f>36690097/A1</f>
        <v>8571250.9928514697</v>
      </c>
      <c r="X13" s="169">
        <v>45266</v>
      </c>
      <c r="Y13" s="169">
        <v>45989</v>
      </c>
      <c r="Z13" s="165">
        <f>6403795.34/A1</f>
        <v>1496004.1442788395</v>
      </c>
      <c r="AA13" s="143" t="s">
        <v>89</v>
      </c>
      <c r="AB13" s="147">
        <v>124084</v>
      </c>
      <c r="AC13" s="53">
        <v>83333</v>
      </c>
      <c r="AD13" s="175">
        <f>AB13/AC13</f>
        <v>1.4890139560558242</v>
      </c>
      <c r="AE13" s="54">
        <v>37123</v>
      </c>
      <c r="AF13" s="54">
        <v>37000</v>
      </c>
      <c r="AG13" s="156" t="s">
        <v>89</v>
      </c>
      <c r="AH13" s="156" t="s">
        <v>89</v>
      </c>
      <c r="AI13" s="176">
        <f t="shared" si="1"/>
        <v>3681.4185275974464</v>
      </c>
      <c r="AJ13" s="176">
        <f t="shared" si="2"/>
        <v>3693.6567567567567</v>
      </c>
      <c r="AK13" s="174">
        <f t="shared" si="3"/>
        <v>897.01802117285774</v>
      </c>
      <c r="AL13" s="174">
        <f t="shared" si="4"/>
        <v>900</v>
      </c>
      <c r="AM13" s="144" t="s">
        <v>90</v>
      </c>
      <c r="AN13" s="126" t="s">
        <v>145</v>
      </c>
      <c r="AO13" s="130" t="s">
        <v>92</v>
      </c>
      <c r="AP13" s="130" t="s">
        <v>93</v>
      </c>
      <c r="AQ13" s="130" t="s">
        <v>92</v>
      </c>
      <c r="AR13" s="130" t="s">
        <v>94</v>
      </c>
      <c r="AS13" s="145" t="s">
        <v>95</v>
      </c>
      <c r="AT13" s="130" t="s">
        <v>95</v>
      </c>
    </row>
    <row r="14" spans="1:46" ht="115.2">
      <c r="A14" s="141">
        <v>9</v>
      </c>
      <c r="B14" s="116" t="s">
        <v>146</v>
      </c>
      <c r="C14" s="116" t="s">
        <v>147</v>
      </c>
      <c r="D14" s="119" t="s">
        <v>148</v>
      </c>
      <c r="E14" s="116" t="s">
        <v>79</v>
      </c>
      <c r="F14" s="77" t="s">
        <v>99</v>
      </c>
      <c r="G14" s="146" t="s">
        <v>81</v>
      </c>
      <c r="H14" s="146" t="s">
        <v>82</v>
      </c>
      <c r="I14" s="146" t="s">
        <v>115</v>
      </c>
      <c r="J14" s="146" t="s">
        <v>116</v>
      </c>
      <c r="K14" s="121" t="s">
        <v>85</v>
      </c>
      <c r="L14" s="119" t="s">
        <v>149</v>
      </c>
      <c r="M14" s="146" t="s">
        <v>150</v>
      </c>
      <c r="N14" s="77" t="s">
        <v>24</v>
      </c>
      <c r="O14" s="142">
        <f t="shared" si="0"/>
        <v>273060000</v>
      </c>
      <c r="P14" s="142">
        <v>222000000</v>
      </c>
      <c r="Q14" s="142">
        <v>222000000</v>
      </c>
      <c r="R14" s="168">
        <f>44400000+177600000</f>
        <v>222000000</v>
      </c>
      <c r="S14" s="168">
        <v>400000000</v>
      </c>
      <c r="T14" s="164"/>
      <c r="U14" s="134">
        <f>465199605/A1</f>
        <v>108676261.50539644</v>
      </c>
      <c r="V14" s="162" t="s">
        <v>151</v>
      </c>
      <c r="W14" s="41">
        <f>24699110/A1</f>
        <v>5770011.2133813016</v>
      </c>
      <c r="X14" s="169">
        <v>45266</v>
      </c>
      <c r="Y14" s="169">
        <v>45266</v>
      </c>
      <c r="Z14" s="165">
        <v>134759.69</v>
      </c>
      <c r="AA14" s="143" t="s">
        <v>89</v>
      </c>
      <c r="AB14" s="147">
        <v>32510</v>
      </c>
      <c r="AC14" s="53" t="s">
        <v>89</v>
      </c>
      <c r="AD14" s="175" t="s">
        <v>89</v>
      </c>
      <c r="AE14" s="54">
        <v>6694</v>
      </c>
      <c r="AF14" s="54">
        <v>151295</v>
      </c>
      <c r="AG14" s="156" t="s">
        <v>89</v>
      </c>
      <c r="AH14" s="156" t="s">
        <v>89</v>
      </c>
      <c r="AI14" s="176">
        <f t="shared" si="1"/>
        <v>40791.753809381538</v>
      </c>
      <c r="AJ14" s="176">
        <f t="shared" si="2"/>
        <v>1804.8184011368519</v>
      </c>
      <c r="AK14" s="174">
        <f t="shared" si="3"/>
        <v>92919.031968927404</v>
      </c>
      <c r="AL14" s="174">
        <f t="shared" si="4"/>
        <v>4111.1735351465677</v>
      </c>
      <c r="AM14" s="144" t="s">
        <v>90</v>
      </c>
      <c r="AN14" s="130" t="s">
        <v>152</v>
      </c>
      <c r="AO14" s="130" t="s">
        <v>92</v>
      </c>
      <c r="AP14" s="130" t="s">
        <v>93</v>
      </c>
      <c r="AQ14" s="130" t="s">
        <v>92</v>
      </c>
      <c r="AR14" s="130" t="s">
        <v>94</v>
      </c>
      <c r="AS14" s="145" t="s">
        <v>95</v>
      </c>
      <c r="AT14" s="130" t="s">
        <v>95</v>
      </c>
    </row>
    <row r="15" spans="1:46" ht="115.2">
      <c r="A15" s="141">
        <v>10</v>
      </c>
      <c r="B15" s="116" t="s">
        <v>153</v>
      </c>
      <c r="C15" s="116" t="s">
        <v>154</v>
      </c>
      <c r="D15" s="119" t="s">
        <v>148</v>
      </c>
      <c r="E15" s="116" t="s">
        <v>79</v>
      </c>
      <c r="F15" s="77" t="s">
        <v>99</v>
      </c>
      <c r="G15" s="146" t="s">
        <v>81</v>
      </c>
      <c r="H15" s="146" t="s">
        <v>82</v>
      </c>
      <c r="I15" s="146" t="s">
        <v>115</v>
      </c>
      <c r="J15" s="146" t="s">
        <v>116</v>
      </c>
      <c r="K15" s="121" t="s">
        <v>85</v>
      </c>
      <c r="L15" s="119" t="s">
        <v>149</v>
      </c>
      <c r="M15" s="146" t="s">
        <v>150</v>
      </c>
      <c r="N15" s="77" t="s">
        <v>24</v>
      </c>
      <c r="O15" s="142">
        <f>(755000000-222000000)*1.23</f>
        <v>655590000</v>
      </c>
      <c r="P15" s="142">
        <v>533000000</v>
      </c>
      <c r="Q15" s="142">
        <v>444000000</v>
      </c>
      <c r="R15" s="168">
        <v>44400000</v>
      </c>
      <c r="S15" s="168">
        <v>399600000</v>
      </c>
      <c r="T15" s="164"/>
      <c r="U15" s="134">
        <f>1977850700/A1</f>
        <v>462049876.18558151</v>
      </c>
      <c r="V15" s="162" t="s">
        <v>155</v>
      </c>
      <c r="W15" s="41">
        <f>253376875/A1</f>
        <v>59191906.508433402</v>
      </c>
      <c r="X15" s="169">
        <v>45261</v>
      </c>
      <c r="Y15" s="169">
        <v>45261</v>
      </c>
      <c r="Z15" s="165">
        <v>0</v>
      </c>
      <c r="AA15" s="143" t="s">
        <v>89</v>
      </c>
      <c r="AB15" s="147">
        <v>171751</v>
      </c>
      <c r="AC15" s="53" t="s">
        <v>89</v>
      </c>
      <c r="AD15" s="175" t="s">
        <v>89</v>
      </c>
      <c r="AE15" s="54">
        <v>284049</v>
      </c>
      <c r="AF15" s="54">
        <v>5680980</v>
      </c>
      <c r="AG15" s="156" t="s">
        <v>89</v>
      </c>
      <c r="AH15" s="156" t="s">
        <v>89</v>
      </c>
      <c r="AI15" s="176">
        <f t="shared" si="1"/>
        <v>2308.017278708955</v>
      </c>
      <c r="AJ15" s="176">
        <f t="shared" si="2"/>
        <v>115.40086393544776</v>
      </c>
      <c r="AK15" s="174">
        <f t="shared" si="3"/>
        <v>1563.1105900742477</v>
      </c>
      <c r="AL15" s="174">
        <f t="shared" si="4"/>
        <v>78.155529503712387</v>
      </c>
      <c r="AM15" s="144" t="s">
        <v>90</v>
      </c>
      <c r="AN15" s="130" t="s">
        <v>156</v>
      </c>
      <c r="AO15" s="130" t="s">
        <v>92</v>
      </c>
      <c r="AP15" s="130" t="s">
        <v>93</v>
      </c>
      <c r="AQ15" s="130" t="s">
        <v>92</v>
      </c>
      <c r="AR15" s="130" t="s">
        <v>94</v>
      </c>
      <c r="AS15" s="145" t="s">
        <v>95</v>
      </c>
      <c r="AT15" s="130" t="s">
        <v>95</v>
      </c>
    </row>
    <row r="16" spans="1:46" ht="115.2">
      <c r="A16" s="141">
        <v>11</v>
      </c>
      <c r="B16" s="116" t="s">
        <v>157</v>
      </c>
      <c r="C16" s="116" t="s">
        <v>158</v>
      </c>
      <c r="D16" s="119" t="s">
        <v>148</v>
      </c>
      <c r="E16" s="116" t="s">
        <v>79</v>
      </c>
      <c r="F16" s="77" t="s">
        <v>99</v>
      </c>
      <c r="G16" s="146" t="s">
        <v>81</v>
      </c>
      <c r="H16" s="146" t="s">
        <v>82</v>
      </c>
      <c r="I16" s="146" t="s">
        <v>115</v>
      </c>
      <c r="J16" s="146" t="s">
        <v>116</v>
      </c>
      <c r="K16" s="121" t="s">
        <v>85</v>
      </c>
      <c r="L16" s="119" t="s">
        <v>149</v>
      </c>
      <c r="M16" s="146" t="s">
        <v>150</v>
      </c>
      <c r="N16" s="77" t="s">
        <v>24</v>
      </c>
      <c r="O16" s="142">
        <v>933000000</v>
      </c>
      <c r="P16" s="142">
        <v>755000000</v>
      </c>
      <c r="Q16" s="142">
        <v>666000000</v>
      </c>
      <c r="R16" s="168"/>
      <c r="S16" s="168">
        <f>44400000+178000000</f>
        <v>222400000</v>
      </c>
      <c r="T16" s="164"/>
      <c r="U16" s="134">
        <f>499279651/A1</f>
        <v>116637772.97575107</v>
      </c>
      <c r="V16" s="162" t="s">
        <v>159</v>
      </c>
      <c r="W16" s="41">
        <f>59389000/A1</f>
        <v>13873989.627622297</v>
      </c>
      <c r="X16" s="169">
        <v>45925</v>
      </c>
      <c r="Y16" s="169">
        <v>45925</v>
      </c>
      <c r="Z16" s="165">
        <v>0</v>
      </c>
      <c r="AA16" s="143" t="s">
        <v>89</v>
      </c>
      <c r="AB16" s="147">
        <v>54562</v>
      </c>
      <c r="AC16" s="53" t="s">
        <v>89</v>
      </c>
      <c r="AD16" s="175" t="s">
        <v>89</v>
      </c>
      <c r="AE16" s="54">
        <v>50739</v>
      </c>
      <c r="AF16" s="54">
        <v>1197362</v>
      </c>
      <c r="AG16" s="156" t="s">
        <v>89</v>
      </c>
      <c r="AH16" s="156" t="s">
        <v>89</v>
      </c>
      <c r="AI16" s="176">
        <f t="shared" si="1"/>
        <v>18388.222077691717</v>
      </c>
      <c r="AJ16" s="176">
        <f t="shared" si="2"/>
        <v>779.21296984537673</v>
      </c>
      <c r="AK16" s="174">
        <f t="shared" si="3"/>
        <v>4383.2160665365891</v>
      </c>
      <c r="AL16" s="174">
        <f t="shared" si="4"/>
        <v>185.74165540580043</v>
      </c>
      <c r="AM16" s="144" t="s">
        <v>90</v>
      </c>
      <c r="AN16" s="130" t="s">
        <v>160</v>
      </c>
      <c r="AO16" s="130" t="s">
        <v>92</v>
      </c>
      <c r="AP16" s="130" t="s">
        <v>93</v>
      </c>
      <c r="AQ16" s="130" t="s">
        <v>92</v>
      </c>
      <c r="AR16" s="130" t="s">
        <v>94</v>
      </c>
      <c r="AS16" s="145" t="s">
        <v>95</v>
      </c>
      <c r="AT16" s="130" t="s">
        <v>95</v>
      </c>
    </row>
    <row r="17" spans="1:46" ht="115.2">
      <c r="A17" s="141">
        <v>12</v>
      </c>
      <c r="B17" s="116" t="s">
        <v>161</v>
      </c>
      <c r="C17" s="116"/>
      <c r="D17" s="119" t="s">
        <v>162</v>
      </c>
      <c r="E17" s="116" t="s">
        <v>79</v>
      </c>
      <c r="F17" s="131" t="s">
        <v>99</v>
      </c>
      <c r="G17" s="112" t="s">
        <v>81</v>
      </c>
      <c r="H17" s="112" t="s">
        <v>82</v>
      </c>
      <c r="I17" s="112" t="s">
        <v>108</v>
      </c>
      <c r="J17" s="112" t="s">
        <v>84</v>
      </c>
      <c r="K17" s="121" t="s">
        <v>85</v>
      </c>
      <c r="L17" s="119" t="s">
        <v>163</v>
      </c>
      <c r="M17" s="146" t="s">
        <v>102</v>
      </c>
      <c r="N17" s="77" t="s">
        <v>24</v>
      </c>
      <c r="O17" s="142">
        <f>P17*1.23</f>
        <v>492000000</v>
      </c>
      <c r="P17" s="142">
        <v>400000000</v>
      </c>
      <c r="Q17" s="142">
        <v>222220000</v>
      </c>
      <c r="R17" s="168">
        <v>44440000</v>
      </c>
      <c r="S17" s="168"/>
      <c r="T17" s="164"/>
      <c r="U17" s="134">
        <f>85173000/A1</f>
        <v>19897444.283511657</v>
      </c>
      <c r="V17" s="162" t="s">
        <v>164</v>
      </c>
      <c r="W17" s="41">
        <f>280800/A1</f>
        <v>65598.280614867079</v>
      </c>
      <c r="X17" s="169">
        <v>45273</v>
      </c>
      <c r="Y17" s="169">
        <v>45622</v>
      </c>
      <c r="Z17" s="165">
        <v>0</v>
      </c>
      <c r="AA17" s="143" t="s">
        <v>89</v>
      </c>
      <c r="AB17" s="147" t="s">
        <v>89</v>
      </c>
      <c r="AC17" s="53" t="s">
        <v>89</v>
      </c>
      <c r="AD17" s="175" t="s">
        <v>89</v>
      </c>
      <c r="AE17" s="54">
        <v>2520</v>
      </c>
      <c r="AF17" s="54">
        <v>50400</v>
      </c>
      <c r="AG17" s="156" t="s">
        <v>89</v>
      </c>
      <c r="AH17" s="156" t="s">
        <v>89</v>
      </c>
      <c r="AI17" s="176">
        <f t="shared" si="1"/>
        <v>195238.09523809524</v>
      </c>
      <c r="AJ17" s="176">
        <f t="shared" si="2"/>
        <v>9761.9047619047615</v>
      </c>
      <c r="AK17" s="174">
        <f t="shared" si="3"/>
        <v>17634.920634920636</v>
      </c>
      <c r="AL17" s="174">
        <f t="shared" si="4"/>
        <v>881.74603174603169</v>
      </c>
      <c r="AM17" s="144" t="s">
        <v>90</v>
      </c>
      <c r="AN17" s="126" t="s">
        <v>165</v>
      </c>
      <c r="AO17" s="130" t="s">
        <v>92</v>
      </c>
      <c r="AP17" s="130" t="s">
        <v>93</v>
      </c>
      <c r="AQ17" s="130" t="s">
        <v>92</v>
      </c>
      <c r="AR17" s="130" t="s">
        <v>94</v>
      </c>
      <c r="AS17" s="145" t="s">
        <v>95</v>
      </c>
      <c r="AT17" s="130" t="s">
        <v>95</v>
      </c>
    </row>
    <row r="18" spans="1:46" ht="156">
      <c r="A18" s="141">
        <v>13</v>
      </c>
      <c r="B18" s="116" t="s">
        <v>166</v>
      </c>
      <c r="C18" s="116" t="s">
        <v>167</v>
      </c>
      <c r="D18" s="119" t="s">
        <v>168</v>
      </c>
      <c r="E18" s="116" t="s">
        <v>79</v>
      </c>
      <c r="F18" s="77" t="s">
        <v>99</v>
      </c>
      <c r="G18" s="112" t="s">
        <v>81</v>
      </c>
      <c r="H18" s="112" t="s">
        <v>124</v>
      </c>
      <c r="I18" s="112" t="s">
        <v>169</v>
      </c>
      <c r="J18" s="112" t="s">
        <v>116</v>
      </c>
      <c r="K18" s="121" t="s">
        <v>85</v>
      </c>
      <c r="L18" s="119" t="s">
        <v>170</v>
      </c>
      <c r="M18" s="146" t="s">
        <v>132</v>
      </c>
      <c r="N18" s="77" t="s">
        <v>24</v>
      </c>
      <c r="O18" s="142">
        <f>P18*1.23</f>
        <v>212790000</v>
      </c>
      <c r="P18" s="142">
        <v>173000000</v>
      </c>
      <c r="Q18" s="142">
        <v>144000000</v>
      </c>
      <c r="R18" s="168"/>
      <c r="S18" s="168">
        <f>11110000+10000000</f>
        <v>21110000</v>
      </c>
      <c r="T18" s="164"/>
      <c r="U18" s="134">
        <f>64981600/A1</f>
        <v>15180488.716535065</v>
      </c>
      <c r="V18" s="163" t="s">
        <v>171</v>
      </c>
      <c r="W18" s="41">
        <f>3703103/A1</f>
        <v>865089.70705041359</v>
      </c>
      <c r="X18" s="169">
        <v>45819</v>
      </c>
      <c r="Y18" s="169">
        <v>45819</v>
      </c>
      <c r="Z18" s="165">
        <v>0</v>
      </c>
      <c r="AA18" s="143" t="s">
        <v>89</v>
      </c>
      <c r="AB18" s="147" t="s">
        <v>89</v>
      </c>
      <c r="AC18" s="53">
        <v>130000</v>
      </c>
      <c r="AD18" s="175" t="s">
        <v>89</v>
      </c>
      <c r="AE18" s="54">
        <v>2424</v>
      </c>
      <c r="AF18" s="54">
        <v>95000</v>
      </c>
      <c r="AG18" s="156">
        <v>3.83</v>
      </c>
      <c r="AH18" s="156">
        <v>85</v>
      </c>
      <c r="AI18" s="176">
        <f t="shared" ref="AI18:AI25" si="5">O18/AE18</f>
        <v>87784.653465346535</v>
      </c>
      <c r="AJ18" s="176">
        <f t="shared" ref="AJ18:AJ25" si="6">O18/AF18</f>
        <v>2239.8947368421054</v>
      </c>
      <c r="AK18" s="174">
        <f t="shared" si="3"/>
        <v>8708.7458745874592</v>
      </c>
      <c r="AL18" s="174">
        <f t="shared" si="4"/>
        <v>222.21052631578948</v>
      </c>
      <c r="AM18" s="144" t="s">
        <v>90</v>
      </c>
      <c r="AN18" s="126" t="s">
        <v>172</v>
      </c>
      <c r="AO18" s="130" t="s">
        <v>92</v>
      </c>
      <c r="AP18" s="130" t="s">
        <v>93</v>
      </c>
      <c r="AQ18" s="130" t="s">
        <v>92</v>
      </c>
      <c r="AR18" s="130" t="s">
        <v>94</v>
      </c>
      <c r="AS18" s="145" t="s">
        <v>95</v>
      </c>
      <c r="AT18" s="130" t="s">
        <v>95</v>
      </c>
    </row>
    <row r="19" spans="1:46" ht="115.2">
      <c r="A19" s="141">
        <v>14</v>
      </c>
      <c r="B19" s="116" t="s">
        <v>173</v>
      </c>
      <c r="C19" s="116" t="s">
        <v>174</v>
      </c>
      <c r="D19" s="119" t="s">
        <v>175</v>
      </c>
      <c r="E19" s="116" t="s">
        <v>79</v>
      </c>
      <c r="F19" s="77" t="s">
        <v>80</v>
      </c>
      <c r="G19" s="112" t="s">
        <v>81</v>
      </c>
      <c r="H19" s="112" t="s">
        <v>124</v>
      </c>
      <c r="I19" s="112" t="s">
        <v>169</v>
      </c>
      <c r="J19" s="112" t="s">
        <v>116</v>
      </c>
      <c r="K19" s="121" t="s">
        <v>85</v>
      </c>
      <c r="L19" s="120" t="s">
        <v>176</v>
      </c>
      <c r="M19" s="146" t="s">
        <v>118</v>
      </c>
      <c r="N19" s="77" t="s">
        <v>24</v>
      </c>
      <c r="O19" s="142">
        <f>P19*1.23</f>
        <v>114820500</v>
      </c>
      <c r="P19" s="142">
        <v>93350000</v>
      </c>
      <c r="Q19" s="142">
        <v>77790000</v>
      </c>
      <c r="R19" s="168">
        <v>11110000</v>
      </c>
      <c r="S19" s="168">
        <v>50000000</v>
      </c>
      <c r="T19" s="164"/>
      <c r="U19" s="134">
        <f>128000000/A1</f>
        <v>29902350.137831148</v>
      </c>
      <c r="V19" s="163">
        <v>45272</v>
      </c>
      <c r="W19" s="41">
        <f>1280000/A1</f>
        <v>299023.50137831148</v>
      </c>
      <c r="X19" s="169">
        <v>45483</v>
      </c>
      <c r="Y19" s="169">
        <v>45483</v>
      </c>
      <c r="Z19" s="165">
        <v>0</v>
      </c>
      <c r="AA19" s="143" t="s">
        <v>89</v>
      </c>
      <c r="AB19" s="147" t="s">
        <v>89</v>
      </c>
      <c r="AC19" s="53" t="s">
        <v>89</v>
      </c>
      <c r="AD19" s="175" t="s">
        <v>89</v>
      </c>
      <c r="AE19" s="54">
        <v>30157</v>
      </c>
      <c r="AF19" s="54">
        <v>80000</v>
      </c>
      <c r="AG19" s="156" t="s">
        <v>89</v>
      </c>
      <c r="AH19" s="156" t="s">
        <v>89</v>
      </c>
      <c r="AI19" s="176">
        <f t="shared" si="5"/>
        <v>3807.4244785621913</v>
      </c>
      <c r="AJ19" s="176">
        <f t="shared" si="6"/>
        <v>1435.2562499999999</v>
      </c>
      <c r="AK19" s="174">
        <f t="shared" si="3"/>
        <v>2026.3951984613855</v>
      </c>
      <c r="AL19" s="174">
        <f t="shared" si="4"/>
        <v>763.875</v>
      </c>
      <c r="AM19" s="144" t="s">
        <v>90</v>
      </c>
      <c r="AN19" s="126" t="s">
        <v>177</v>
      </c>
      <c r="AO19" s="130" t="s">
        <v>92</v>
      </c>
      <c r="AP19" s="130" t="s">
        <v>93</v>
      </c>
      <c r="AQ19" s="130" t="s">
        <v>92</v>
      </c>
      <c r="AR19" s="130" t="s">
        <v>94</v>
      </c>
      <c r="AS19" s="145" t="s">
        <v>95</v>
      </c>
      <c r="AT19" s="130" t="s">
        <v>95</v>
      </c>
    </row>
    <row r="20" spans="1:46" s="132" customFormat="1" ht="115.2">
      <c r="A20" s="141">
        <v>15</v>
      </c>
      <c r="B20" s="116" t="s">
        <v>178</v>
      </c>
      <c r="C20" s="116" t="s">
        <v>179</v>
      </c>
      <c r="D20" s="119" t="s">
        <v>180</v>
      </c>
      <c r="E20" s="116" t="s">
        <v>79</v>
      </c>
      <c r="F20" s="77" t="s">
        <v>99</v>
      </c>
      <c r="G20" s="112" t="s">
        <v>81</v>
      </c>
      <c r="H20" s="112" t="s">
        <v>82</v>
      </c>
      <c r="I20" s="112" t="s">
        <v>115</v>
      </c>
      <c r="J20" s="112" t="s">
        <v>116</v>
      </c>
      <c r="K20" s="121" t="s">
        <v>85</v>
      </c>
      <c r="L20" s="120" t="s">
        <v>149</v>
      </c>
      <c r="M20" s="146" t="s">
        <v>150</v>
      </c>
      <c r="N20" s="77" t="s">
        <v>24</v>
      </c>
      <c r="O20" s="142">
        <v>258200000</v>
      </c>
      <c r="P20" s="142">
        <f>O20/1.23</f>
        <v>209918699.18699187</v>
      </c>
      <c r="Q20" s="142">
        <v>209900000</v>
      </c>
      <c r="R20" s="168">
        <v>20990000</v>
      </c>
      <c r="S20" s="168">
        <v>66660000</v>
      </c>
      <c r="T20" s="164"/>
      <c r="U20" s="134">
        <f>548681601/A1</f>
        <v>128178666.77568565</v>
      </c>
      <c r="V20" s="163" t="s">
        <v>181</v>
      </c>
      <c r="W20" s="41">
        <f>352269322/A1</f>
        <v>82294379.759846762</v>
      </c>
      <c r="X20" s="169">
        <v>45159</v>
      </c>
      <c r="Y20" s="169">
        <v>45967</v>
      </c>
      <c r="Z20" s="165">
        <f>6170877.51/A1</f>
        <v>1441591.7184506846</v>
      </c>
      <c r="AA20" s="143" t="s">
        <v>89</v>
      </c>
      <c r="AB20" s="147" t="s">
        <v>89</v>
      </c>
      <c r="AC20" s="147" t="s">
        <v>89</v>
      </c>
      <c r="AD20" s="175" t="s">
        <v>89</v>
      </c>
      <c r="AE20" s="148">
        <v>66391</v>
      </c>
      <c r="AF20" s="148">
        <v>195311</v>
      </c>
      <c r="AG20" s="158">
        <v>4</v>
      </c>
      <c r="AH20" s="158">
        <v>30</v>
      </c>
      <c r="AI20" s="176">
        <f t="shared" si="5"/>
        <v>3889.0813513879893</v>
      </c>
      <c r="AJ20" s="176">
        <f t="shared" si="6"/>
        <v>1321.9941529150944</v>
      </c>
      <c r="AK20" s="174">
        <f t="shared" si="3"/>
        <v>1320.2090644816315</v>
      </c>
      <c r="AL20" s="174">
        <f t="shared" si="4"/>
        <v>448.77144656470961</v>
      </c>
      <c r="AM20" s="149" t="s">
        <v>90</v>
      </c>
      <c r="AN20" s="129" t="s">
        <v>182</v>
      </c>
      <c r="AO20" s="150" t="s">
        <v>92</v>
      </c>
      <c r="AP20" s="150" t="s">
        <v>93</v>
      </c>
      <c r="AQ20" s="150" t="s">
        <v>92</v>
      </c>
      <c r="AR20" s="150" t="s">
        <v>94</v>
      </c>
      <c r="AS20" s="151" t="s">
        <v>95</v>
      </c>
      <c r="AT20" s="150" t="s">
        <v>95</v>
      </c>
    </row>
    <row r="21" spans="1:46" ht="140.4">
      <c r="A21" s="141">
        <v>16</v>
      </c>
      <c r="B21" s="116" t="s">
        <v>183</v>
      </c>
      <c r="C21" s="116"/>
      <c r="D21" s="119" t="s">
        <v>184</v>
      </c>
      <c r="E21" s="116" t="s">
        <v>79</v>
      </c>
      <c r="F21" s="77" t="s">
        <v>99</v>
      </c>
      <c r="G21" s="112" t="s">
        <v>81</v>
      </c>
      <c r="H21" s="112" t="s">
        <v>124</v>
      </c>
      <c r="I21" s="112" t="s">
        <v>115</v>
      </c>
      <c r="J21" s="112" t="s">
        <v>116</v>
      </c>
      <c r="K21" s="121" t="s">
        <v>85</v>
      </c>
      <c r="L21" s="119" t="s">
        <v>185</v>
      </c>
      <c r="M21" s="146" t="s">
        <v>132</v>
      </c>
      <c r="N21" s="77" t="s">
        <v>24</v>
      </c>
      <c r="O21" s="142">
        <f>P21*1.23</f>
        <v>273330600</v>
      </c>
      <c r="P21" s="142">
        <v>222220000</v>
      </c>
      <c r="Q21" s="142">
        <v>222220000</v>
      </c>
      <c r="R21" s="168">
        <v>22200000</v>
      </c>
      <c r="S21" s="168"/>
      <c r="T21" s="164"/>
      <c r="U21" s="134">
        <f>38569860/A1</f>
        <v>9010386.3944306877</v>
      </c>
      <c r="V21" s="163" t="s">
        <v>186</v>
      </c>
      <c r="W21" s="41">
        <f>11924601/A1</f>
        <v>2785731.2059057145</v>
      </c>
      <c r="X21" s="169">
        <v>45862</v>
      </c>
      <c r="Y21" s="169">
        <v>46020</v>
      </c>
      <c r="Z21" s="165">
        <v>0</v>
      </c>
      <c r="AA21" s="143" t="s">
        <v>89</v>
      </c>
      <c r="AB21" s="147">
        <v>12505</v>
      </c>
      <c r="AC21" s="53">
        <v>555556</v>
      </c>
      <c r="AD21" s="175">
        <f>AB21/AC21</f>
        <v>2.2508981992814404E-2</v>
      </c>
      <c r="AE21" s="54">
        <v>52615</v>
      </c>
      <c r="AF21" s="54">
        <v>600000</v>
      </c>
      <c r="AG21" s="156" t="s">
        <v>89</v>
      </c>
      <c r="AH21" s="156" t="s">
        <v>89</v>
      </c>
      <c r="AI21" s="176">
        <f t="shared" si="5"/>
        <v>5194.917799106719</v>
      </c>
      <c r="AJ21" s="176">
        <f t="shared" si="6"/>
        <v>455.55099999999999</v>
      </c>
      <c r="AK21" s="174">
        <f t="shared" si="3"/>
        <v>421.93290886629291</v>
      </c>
      <c r="AL21" s="174">
        <f t="shared" si="4"/>
        <v>37</v>
      </c>
      <c r="AM21" s="144" t="s">
        <v>90</v>
      </c>
      <c r="AN21" s="126" t="s">
        <v>187</v>
      </c>
      <c r="AO21" s="130" t="s">
        <v>92</v>
      </c>
      <c r="AP21" s="130" t="s">
        <v>93</v>
      </c>
      <c r="AQ21" s="130" t="s">
        <v>92</v>
      </c>
      <c r="AR21" s="130" t="s">
        <v>94</v>
      </c>
      <c r="AS21" s="145" t="s">
        <v>95</v>
      </c>
      <c r="AT21" s="130" t="s">
        <v>95</v>
      </c>
    </row>
    <row r="22" spans="1:46" ht="234">
      <c r="A22" s="141">
        <v>17</v>
      </c>
      <c r="B22" s="116" t="s">
        <v>188</v>
      </c>
      <c r="C22" s="116" t="s">
        <v>189</v>
      </c>
      <c r="D22" s="119" t="s">
        <v>190</v>
      </c>
      <c r="E22" s="77" t="s">
        <v>79</v>
      </c>
      <c r="F22" s="77" t="s">
        <v>99</v>
      </c>
      <c r="G22" s="112" t="s">
        <v>81</v>
      </c>
      <c r="H22" s="112" t="s">
        <v>124</v>
      </c>
      <c r="I22" s="112" t="s">
        <v>115</v>
      </c>
      <c r="J22" s="112" t="s">
        <v>116</v>
      </c>
      <c r="K22" s="121" t="s">
        <v>85</v>
      </c>
      <c r="L22" s="119" t="s">
        <v>191</v>
      </c>
      <c r="M22" s="146" t="s">
        <v>150</v>
      </c>
      <c r="N22" s="77" t="s">
        <v>24</v>
      </c>
      <c r="O22" s="142">
        <f>P22*1.23</f>
        <v>409590000</v>
      </c>
      <c r="P22" s="142">
        <v>333000000</v>
      </c>
      <c r="Q22" s="142">
        <v>333000000</v>
      </c>
      <c r="R22" s="168">
        <v>44440000</v>
      </c>
      <c r="S22" s="168">
        <v>260000000</v>
      </c>
      <c r="T22" s="164"/>
      <c r="U22" s="134">
        <f>362336831/A1</f>
        <v>84646271.78432931</v>
      </c>
      <c r="V22" s="162" t="s">
        <v>192</v>
      </c>
      <c r="W22" s="41">
        <f>16562400/A1</f>
        <v>3869177.2181469891</v>
      </c>
      <c r="X22" s="169">
        <v>46007</v>
      </c>
      <c r="Y22" s="169">
        <v>46020</v>
      </c>
      <c r="Z22" s="165">
        <v>0</v>
      </c>
      <c r="AA22" s="143" t="s">
        <v>89</v>
      </c>
      <c r="AB22" s="147">
        <v>23326</v>
      </c>
      <c r="AC22" s="53">
        <v>502238</v>
      </c>
      <c r="AD22" s="175">
        <f>AB22/AC22</f>
        <v>4.6444116136174482E-2</v>
      </c>
      <c r="AE22" s="54">
        <v>31852</v>
      </c>
      <c r="AF22" s="54">
        <v>690710</v>
      </c>
      <c r="AG22" s="156">
        <v>6</v>
      </c>
      <c r="AH22" s="156">
        <v>15</v>
      </c>
      <c r="AI22" s="176">
        <f t="shared" si="5"/>
        <v>12859.161120180835</v>
      </c>
      <c r="AJ22" s="176">
        <f t="shared" si="6"/>
        <v>592.99850878081975</v>
      </c>
      <c r="AK22" s="174">
        <f t="shared" si="3"/>
        <v>9557.9555443928166</v>
      </c>
      <c r="AL22" s="174">
        <f t="shared" si="4"/>
        <v>440.7638516888419</v>
      </c>
      <c r="AM22" s="144" t="s">
        <v>90</v>
      </c>
      <c r="AN22" s="126" t="s">
        <v>193</v>
      </c>
      <c r="AO22" s="130" t="s">
        <v>92</v>
      </c>
      <c r="AP22" s="130" t="s">
        <v>93</v>
      </c>
      <c r="AQ22" s="130" t="s">
        <v>92</v>
      </c>
      <c r="AR22" s="130" t="s">
        <v>94</v>
      </c>
      <c r="AS22" s="145" t="s">
        <v>95</v>
      </c>
      <c r="AT22" s="130" t="s">
        <v>95</v>
      </c>
    </row>
    <row r="23" spans="1:46" ht="171.6">
      <c r="A23" s="141">
        <v>18</v>
      </c>
      <c r="B23" s="116" t="s">
        <v>194</v>
      </c>
      <c r="C23" s="116" t="s">
        <v>195</v>
      </c>
      <c r="D23" s="119" t="s">
        <v>196</v>
      </c>
      <c r="E23" s="77" t="s">
        <v>197</v>
      </c>
      <c r="F23" s="77" t="s">
        <v>99</v>
      </c>
      <c r="G23" s="146" t="s">
        <v>81</v>
      </c>
      <c r="H23" s="146" t="s">
        <v>124</v>
      </c>
      <c r="I23" s="146" t="s">
        <v>115</v>
      </c>
      <c r="J23" s="146" t="s">
        <v>116</v>
      </c>
      <c r="K23" s="121" t="s">
        <v>85</v>
      </c>
      <c r="L23" s="119" t="s">
        <v>198</v>
      </c>
      <c r="M23" s="146" t="s">
        <v>132</v>
      </c>
      <c r="N23" s="77" t="s">
        <v>24</v>
      </c>
      <c r="O23" s="142">
        <f>P23*1.23</f>
        <v>780952381.04999995</v>
      </c>
      <c r="P23" s="142">
        <v>634920635</v>
      </c>
      <c r="Q23" s="142">
        <v>444444444</v>
      </c>
      <c r="R23" s="168">
        <v>22222222</v>
      </c>
      <c r="S23" s="168">
        <v>49000000</v>
      </c>
      <c r="T23" s="164"/>
      <c r="U23" s="134">
        <f>130856873/A1</f>
        <v>30569750.268653929</v>
      </c>
      <c r="V23" s="162" t="s">
        <v>199</v>
      </c>
      <c r="W23" s="41">
        <f>11245011/A1</f>
        <v>2626970.7517637718</v>
      </c>
      <c r="X23" s="169">
        <v>45673</v>
      </c>
      <c r="Y23" s="169">
        <v>45679</v>
      </c>
      <c r="Z23" s="165">
        <v>0</v>
      </c>
      <c r="AA23" s="152" t="s">
        <v>200</v>
      </c>
      <c r="AB23" s="147">
        <v>100581</v>
      </c>
      <c r="AC23" s="53">
        <v>1358789</v>
      </c>
      <c r="AD23" s="175">
        <f>AB23/AC23</f>
        <v>7.4022530356074423E-2</v>
      </c>
      <c r="AE23" s="54">
        <v>32525</v>
      </c>
      <c r="AF23" s="54">
        <v>387062</v>
      </c>
      <c r="AG23" s="156">
        <v>29.46</v>
      </c>
      <c r="AH23" s="156">
        <v>898</v>
      </c>
      <c r="AI23" s="176">
        <f t="shared" si="5"/>
        <v>24010.834159877017</v>
      </c>
      <c r="AJ23" s="176">
        <f t="shared" si="6"/>
        <v>2017.6415691801312</v>
      </c>
      <c r="AK23" s="174">
        <f t="shared" si="3"/>
        <v>2189.7685472713297</v>
      </c>
      <c r="AL23" s="174">
        <f t="shared" si="4"/>
        <v>184.0072701531021</v>
      </c>
      <c r="AM23" s="144" t="s">
        <v>90</v>
      </c>
      <c r="AN23" s="130" t="s">
        <v>201</v>
      </c>
      <c r="AO23" s="130" t="s">
        <v>92</v>
      </c>
      <c r="AP23" s="130" t="s">
        <v>93</v>
      </c>
      <c r="AQ23" s="130" t="s">
        <v>92</v>
      </c>
      <c r="AR23" s="130" t="s">
        <v>94</v>
      </c>
      <c r="AS23" s="145" t="s">
        <v>95</v>
      </c>
      <c r="AT23" s="130" t="s">
        <v>95</v>
      </c>
    </row>
    <row r="24" spans="1:46" ht="171.6">
      <c r="A24" s="141">
        <v>19</v>
      </c>
      <c r="B24" s="77" t="s">
        <v>202</v>
      </c>
      <c r="C24" s="77" t="s">
        <v>203</v>
      </c>
      <c r="D24" s="119" t="s">
        <v>204</v>
      </c>
      <c r="E24" s="77" t="s">
        <v>197</v>
      </c>
      <c r="F24" s="77" t="s">
        <v>99</v>
      </c>
      <c r="G24" s="112" t="s">
        <v>81</v>
      </c>
      <c r="H24" s="112" t="s">
        <v>82</v>
      </c>
      <c r="I24" s="112" t="s">
        <v>83</v>
      </c>
      <c r="J24" s="112" t="s">
        <v>84</v>
      </c>
      <c r="K24" s="121" t="s">
        <v>85</v>
      </c>
      <c r="L24" s="120" t="s">
        <v>205</v>
      </c>
      <c r="M24" s="146" t="s">
        <v>206</v>
      </c>
      <c r="N24" s="77" t="s">
        <v>24</v>
      </c>
      <c r="O24" s="142">
        <f>P24*1.23</f>
        <v>546612000</v>
      </c>
      <c r="P24" s="142">
        <v>444400000</v>
      </c>
      <c r="Q24" s="142">
        <v>133300000</v>
      </c>
      <c r="R24" s="168">
        <f>22222222+111111111</f>
        <v>133333333</v>
      </c>
      <c r="S24" s="168"/>
      <c r="T24" s="164"/>
      <c r="U24" s="134">
        <f>318964034.71/A1</f>
        <v>74513861.306826144</v>
      </c>
      <c r="V24" s="162" t="s">
        <v>207</v>
      </c>
      <c r="W24" s="41">
        <f>318964034.71/A1</f>
        <v>74513861.306826144</v>
      </c>
      <c r="X24" s="172" t="s">
        <v>207</v>
      </c>
      <c r="Y24" s="172" t="s">
        <v>207</v>
      </c>
      <c r="Z24" s="165">
        <f>37979.7/A1</f>
        <v>8872.5178713264486</v>
      </c>
      <c r="AA24" s="152" t="s">
        <v>200</v>
      </c>
      <c r="AB24" s="147">
        <v>401511</v>
      </c>
      <c r="AC24" s="53">
        <v>625000</v>
      </c>
      <c r="AD24" s="175">
        <f>AB24/AC24</f>
        <v>0.64241760000000003</v>
      </c>
      <c r="AE24" s="54">
        <v>42353</v>
      </c>
      <c r="AF24" s="54">
        <v>65000</v>
      </c>
      <c r="AG24" s="156">
        <v>302.77999999999997</v>
      </c>
      <c r="AH24" s="156">
        <v>450</v>
      </c>
      <c r="AI24" s="176">
        <f t="shared" si="5"/>
        <v>12906.098741529526</v>
      </c>
      <c r="AJ24" s="176">
        <f t="shared" si="6"/>
        <v>8409.415384615384</v>
      </c>
      <c r="AK24" s="174">
        <f t="shared" si="3"/>
        <v>3148.1437678558782</v>
      </c>
      <c r="AL24" s="174">
        <f t="shared" si="4"/>
        <v>2051.2820461538463</v>
      </c>
      <c r="AM24" s="144" t="s">
        <v>90</v>
      </c>
      <c r="AN24" s="126" t="s">
        <v>208</v>
      </c>
      <c r="AO24" s="130" t="s">
        <v>92</v>
      </c>
      <c r="AP24" s="130" t="s">
        <v>93</v>
      </c>
      <c r="AQ24" s="130" t="s">
        <v>92</v>
      </c>
      <c r="AR24" s="130" t="s">
        <v>94</v>
      </c>
      <c r="AS24" s="145" t="s">
        <v>95</v>
      </c>
      <c r="AT24" s="130" t="s">
        <v>95</v>
      </c>
    </row>
    <row r="25" spans="1:46" ht="156">
      <c r="A25" s="141">
        <v>20</v>
      </c>
      <c r="B25" s="77" t="s">
        <v>209</v>
      </c>
      <c r="C25" s="77"/>
      <c r="D25" s="119" t="s">
        <v>210</v>
      </c>
      <c r="E25" s="77" t="s">
        <v>79</v>
      </c>
      <c r="F25" s="77" t="s">
        <v>99</v>
      </c>
      <c r="G25" s="112" t="s">
        <v>81</v>
      </c>
      <c r="H25" s="112" t="s">
        <v>124</v>
      </c>
      <c r="I25" s="112" t="s">
        <v>100</v>
      </c>
      <c r="J25" s="112" t="s">
        <v>116</v>
      </c>
      <c r="K25" s="121" t="s">
        <v>85</v>
      </c>
      <c r="L25" s="120" t="s">
        <v>211</v>
      </c>
      <c r="M25" s="146" t="s">
        <v>212</v>
      </c>
      <c r="N25" s="77" t="s">
        <v>24</v>
      </c>
      <c r="O25" s="142">
        <f>P25*1.23</f>
        <v>546612000</v>
      </c>
      <c r="P25" s="142">
        <v>444400000</v>
      </c>
      <c r="Q25" s="142">
        <v>444400000</v>
      </c>
      <c r="R25" s="168"/>
      <c r="S25" s="168">
        <v>44400000</v>
      </c>
      <c r="T25" s="164"/>
      <c r="U25" s="134">
        <f>0/A1</f>
        <v>0</v>
      </c>
      <c r="V25" s="162" t="s">
        <v>89</v>
      </c>
      <c r="W25" s="41">
        <f>0/A1</f>
        <v>0</v>
      </c>
      <c r="X25" s="172" t="s">
        <v>89</v>
      </c>
      <c r="Y25" s="172" t="s">
        <v>89</v>
      </c>
      <c r="Z25" s="165">
        <v>0</v>
      </c>
      <c r="AA25" s="143" t="s">
        <v>89</v>
      </c>
      <c r="AB25" s="147" t="s">
        <v>89</v>
      </c>
      <c r="AC25" s="53" t="s">
        <v>89</v>
      </c>
      <c r="AD25" s="175" t="s">
        <v>89</v>
      </c>
      <c r="AE25" s="54">
        <v>0</v>
      </c>
      <c r="AF25" s="54">
        <v>627000</v>
      </c>
      <c r="AG25" s="156" t="s">
        <v>89</v>
      </c>
      <c r="AH25" s="156" t="s">
        <v>89</v>
      </c>
      <c r="AI25" s="176" t="e">
        <f t="shared" si="5"/>
        <v>#DIV/0!</v>
      </c>
      <c r="AJ25" s="176">
        <f t="shared" si="6"/>
        <v>871.78947368421052</v>
      </c>
      <c r="AK25" s="174" t="e">
        <f t="shared" si="3"/>
        <v>#DIV/0!</v>
      </c>
      <c r="AL25" s="174">
        <f t="shared" si="4"/>
        <v>70.813397129186598</v>
      </c>
      <c r="AM25" s="144" t="s">
        <v>90</v>
      </c>
      <c r="AN25" s="126" t="s">
        <v>213</v>
      </c>
      <c r="AO25" s="130" t="s">
        <v>92</v>
      </c>
      <c r="AP25" s="130" t="s">
        <v>93</v>
      </c>
      <c r="AQ25" s="130" t="s">
        <v>92</v>
      </c>
      <c r="AR25" s="130" t="s">
        <v>94</v>
      </c>
      <c r="AS25" s="145" t="s">
        <v>95</v>
      </c>
      <c r="AT25" s="130" t="s">
        <v>128</v>
      </c>
    </row>
    <row r="26" spans="1:46" ht="115.2">
      <c r="A26" s="141">
        <v>21</v>
      </c>
      <c r="B26" s="77" t="s">
        <v>214</v>
      </c>
      <c r="C26" s="77"/>
      <c r="D26" s="119" t="s">
        <v>215</v>
      </c>
      <c r="E26" s="77" t="s">
        <v>79</v>
      </c>
      <c r="F26" s="77" t="s">
        <v>99</v>
      </c>
      <c r="G26" s="112" t="s">
        <v>81</v>
      </c>
      <c r="H26" s="112" t="s">
        <v>82</v>
      </c>
      <c r="I26" s="112" t="s">
        <v>83</v>
      </c>
      <c r="J26" s="112" t="s">
        <v>84</v>
      </c>
      <c r="K26" s="121" t="s">
        <v>85</v>
      </c>
      <c r="L26" s="120" t="s">
        <v>216</v>
      </c>
      <c r="M26" s="146" t="s">
        <v>150</v>
      </c>
      <c r="N26" s="77" t="s">
        <v>24</v>
      </c>
      <c r="O26" s="142">
        <v>200000000</v>
      </c>
      <c r="P26" s="142">
        <f>O26/1.23</f>
        <v>162601626.01626018</v>
      </c>
      <c r="Q26" s="142">
        <v>88890000</v>
      </c>
      <c r="R26" s="168"/>
      <c r="S26" s="168">
        <v>8880000</v>
      </c>
      <c r="T26" s="164"/>
      <c r="U26" s="134">
        <f>37700410/A1</f>
        <v>8807272.3449983653</v>
      </c>
      <c r="V26" s="162" t="s">
        <v>217</v>
      </c>
      <c r="W26" s="41">
        <f>37700410/A1</f>
        <v>8807272.3449983653</v>
      </c>
      <c r="X26" s="172" t="s">
        <v>217</v>
      </c>
      <c r="Y26" s="172" t="s">
        <v>217</v>
      </c>
      <c r="Z26" s="165">
        <f>437000/A1</f>
        <v>102088.49226743916</v>
      </c>
      <c r="AA26" s="143" t="s">
        <v>89</v>
      </c>
      <c r="AB26" s="147">
        <v>10260</v>
      </c>
      <c r="AC26" s="53">
        <v>478000</v>
      </c>
      <c r="AD26" s="175">
        <f>AB26/AC26</f>
        <v>2.1464435146443514E-2</v>
      </c>
      <c r="AE26" s="54">
        <v>2811</v>
      </c>
      <c r="AF26" s="54">
        <v>13100</v>
      </c>
      <c r="AG26" s="156">
        <v>4.0999999999999996</v>
      </c>
      <c r="AH26" s="156">
        <v>19</v>
      </c>
      <c r="AI26" s="176">
        <f t="shared" si="1"/>
        <v>71149.057274991108</v>
      </c>
      <c r="AJ26" s="176">
        <f t="shared" si="2"/>
        <v>15267.175572519083</v>
      </c>
      <c r="AK26" s="174">
        <f t="shared" si="3"/>
        <v>3159.018143009605</v>
      </c>
      <c r="AL26" s="174">
        <f t="shared" si="4"/>
        <v>677.86259541984737</v>
      </c>
      <c r="AM26" s="144" t="s">
        <v>90</v>
      </c>
      <c r="AN26" s="126" t="s">
        <v>218</v>
      </c>
      <c r="AO26" s="130" t="s">
        <v>92</v>
      </c>
      <c r="AP26" s="130" t="s">
        <v>93</v>
      </c>
      <c r="AQ26" s="130" t="s">
        <v>92</v>
      </c>
      <c r="AR26" s="130" t="s">
        <v>94</v>
      </c>
      <c r="AS26" s="145" t="s">
        <v>95</v>
      </c>
      <c r="AT26" s="130" t="s">
        <v>128</v>
      </c>
    </row>
    <row r="27" spans="1:46" ht="115.2">
      <c r="A27" s="141">
        <v>22</v>
      </c>
      <c r="B27" s="77" t="s">
        <v>219</v>
      </c>
      <c r="C27" s="77"/>
      <c r="D27" s="119" t="s">
        <v>180</v>
      </c>
      <c r="E27" s="77" t="s">
        <v>79</v>
      </c>
      <c r="F27" s="124" t="s">
        <v>99</v>
      </c>
      <c r="G27" s="112" t="s">
        <v>81</v>
      </c>
      <c r="H27" s="112" t="s">
        <v>82</v>
      </c>
      <c r="I27" s="112" t="s">
        <v>115</v>
      </c>
      <c r="J27" s="112" t="s">
        <v>116</v>
      </c>
      <c r="K27" s="121" t="s">
        <v>85</v>
      </c>
      <c r="L27" s="120" t="s">
        <v>149</v>
      </c>
      <c r="M27" s="146" t="s">
        <v>150</v>
      </c>
      <c r="N27" s="77" t="s">
        <v>24</v>
      </c>
      <c r="O27" s="142">
        <v>592770000</v>
      </c>
      <c r="P27" s="142">
        <v>481930000</v>
      </c>
      <c r="Q27" s="142">
        <v>481930000</v>
      </c>
      <c r="R27" s="168"/>
      <c r="S27" s="168">
        <v>24100000</v>
      </c>
      <c r="T27" s="164"/>
      <c r="U27" s="134">
        <f>0/A1</f>
        <v>0</v>
      </c>
      <c r="V27" s="162" t="s">
        <v>89</v>
      </c>
      <c r="W27" s="41">
        <f>0/A1</f>
        <v>0</v>
      </c>
      <c r="X27" s="172" t="s">
        <v>89</v>
      </c>
      <c r="Y27" s="172" t="s">
        <v>89</v>
      </c>
      <c r="Z27" s="165">
        <v>0</v>
      </c>
      <c r="AA27" s="143" t="s">
        <v>89</v>
      </c>
      <c r="AB27" s="147" t="s">
        <v>89</v>
      </c>
      <c r="AC27" s="53" t="s">
        <v>89</v>
      </c>
      <c r="AD27" s="175" t="s">
        <v>89</v>
      </c>
      <c r="AE27" s="54">
        <v>0</v>
      </c>
      <c r="AF27" s="54">
        <v>484689</v>
      </c>
      <c r="AG27" s="156">
        <v>0</v>
      </c>
      <c r="AH27" s="156">
        <v>75.2</v>
      </c>
      <c r="AI27" s="176" t="e">
        <f t="shared" si="1"/>
        <v>#DIV/0!</v>
      </c>
      <c r="AJ27" s="176">
        <f t="shared" si="2"/>
        <v>1222.9904124087818</v>
      </c>
      <c r="AK27" s="174" t="e">
        <f t="shared" si="3"/>
        <v>#DIV/0!</v>
      </c>
      <c r="AL27" s="174">
        <f t="shared" si="4"/>
        <v>49.722605629589282</v>
      </c>
      <c r="AM27" s="144" t="s">
        <v>90</v>
      </c>
      <c r="AN27" s="126" t="s">
        <v>220</v>
      </c>
      <c r="AO27" s="130" t="s">
        <v>92</v>
      </c>
      <c r="AP27" s="130" t="s">
        <v>93</v>
      </c>
      <c r="AQ27" s="130" t="s">
        <v>92</v>
      </c>
      <c r="AR27" s="130" t="s">
        <v>94</v>
      </c>
      <c r="AS27" s="145" t="s">
        <v>95</v>
      </c>
      <c r="AT27" s="130" t="s">
        <v>128</v>
      </c>
    </row>
    <row r="28" spans="1:46" ht="115.2">
      <c r="A28" s="141">
        <v>23</v>
      </c>
      <c r="B28" s="77" t="s">
        <v>221</v>
      </c>
      <c r="C28" s="77"/>
      <c r="D28" s="119" t="s">
        <v>222</v>
      </c>
      <c r="E28" s="77" t="s">
        <v>79</v>
      </c>
      <c r="F28" s="77" t="s">
        <v>99</v>
      </c>
      <c r="G28" s="112" t="s">
        <v>81</v>
      </c>
      <c r="H28" s="112" t="s">
        <v>124</v>
      </c>
      <c r="I28" s="112" t="s">
        <v>115</v>
      </c>
      <c r="J28" s="112" t="s">
        <v>223</v>
      </c>
      <c r="K28" s="122" t="s">
        <v>85</v>
      </c>
      <c r="L28" s="120" t="s">
        <v>224</v>
      </c>
      <c r="M28" s="146" t="s">
        <v>225</v>
      </c>
      <c r="N28" s="77" t="s">
        <v>24</v>
      </c>
      <c r="O28" s="142">
        <f>P28*1.23</f>
        <v>1230000000</v>
      </c>
      <c r="P28" s="142">
        <v>1000000000</v>
      </c>
      <c r="Q28" s="142">
        <v>1000000000</v>
      </c>
      <c r="R28" s="168"/>
      <c r="S28" s="168">
        <v>120500000</v>
      </c>
      <c r="T28" s="164"/>
      <c r="U28" s="134">
        <f>4144384439/A1</f>
        <v>968178395.31841338</v>
      </c>
      <c r="V28" s="161" t="s">
        <v>226</v>
      </c>
      <c r="W28" s="41">
        <f>0/A1</f>
        <v>0</v>
      </c>
      <c r="X28" s="172" t="s">
        <v>89</v>
      </c>
      <c r="Y28" s="172" t="s">
        <v>89</v>
      </c>
      <c r="Z28" s="165">
        <v>0</v>
      </c>
      <c r="AA28" s="143" t="s">
        <v>89</v>
      </c>
      <c r="AB28" s="147">
        <v>0</v>
      </c>
      <c r="AC28" s="53">
        <v>1642500</v>
      </c>
      <c r="AD28" s="175">
        <f>AB28/AC28</f>
        <v>0</v>
      </c>
      <c r="AE28" s="54">
        <v>1241730</v>
      </c>
      <c r="AF28" s="54">
        <v>1125113</v>
      </c>
      <c r="AG28" s="156" t="s">
        <v>89</v>
      </c>
      <c r="AH28" s="156" t="s">
        <v>89</v>
      </c>
      <c r="AI28" s="176">
        <f t="shared" si="1"/>
        <v>990.55350196902714</v>
      </c>
      <c r="AJ28" s="176">
        <f t="shared" si="2"/>
        <v>1093.2235251037007</v>
      </c>
      <c r="AK28" s="174">
        <f t="shared" si="3"/>
        <v>97.042030070949394</v>
      </c>
      <c r="AL28" s="174">
        <f t="shared" si="4"/>
        <v>107.10035347560645</v>
      </c>
      <c r="AM28" s="144" t="s">
        <v>90</v>
      </c>
      <c r="AN28" s="126" t="s">
        <v>227</v>
      </c>
      <c r="AO28" s="130" t="s">
        <v>92</v>
      </c>
      <c r="AP28" s="130" t="s">
        <v>93</v>
      </c>
      <c r="AQ28" s="130" t="s">
        <v>92</v>
      </c>
      <c r="AR28" s="130" t="s">
        <v>94</v>
      </c>
      <c r="AS28" s="145" t="s">
        <v>95</v>
      </c>
      <c r="AT28" s="130" t="s">
        <v>128</v>
      </c>
    </row>
    <row r="29" spans="1:46" ht="124.8">
      <c r="A29" s="141">
        <v>24</v>
      </c>
      <c r="B29" s="77" t="s">
        <v>228</v>
      </c>
      <c r="C29" s="77"/>
      <c r="D29" s="119" t="s">
        <v>229</v>
      </c>
      <c r="E29" s="77" t="s">
        <v>79</v>
      </c>
      <c r="F29" s="77" t="s">
        <v>99</v>
      </c>
      <c r="G29" s="112" t="s">
        <v>81</v>
      </c>
      <c r="H29" s="112" t="s">
        <v>124</v>
      </c>
      <c r="I29" s="112" t="s">
        <v>100</v>
      </c>
      <c r="J29" s="112" t="s">
        <v>84</v>
      </c>
      <c r="K29" s="122" t="s">
        <v>85</v>
      </c>
      <c r="L29" s="120" t="s">
        <v>230</v>
      </c>
      <c r="M29" s="146" t="s">
        <v>102</v>
      </c>
      <c r="N29" s="77" t="s">
        <v>24</v>
      </c>
      <c r="O29" s="142">
        <f>P29*1.23</f>
        <v>592773900</v>
      </c>
      <c r="P29" s="142">
        <v>481930000</v>
      </c>
      <c r="Q29" s="142">
        <v>481930000</v>
      </c>
      <c r="R29" s="168"/>
      <c r="S29" s="168">
        <v>120500000</v>
      </c>
      <c r="T29" s="164"/>
      <c r="U29" s="134">
        <f>0/A1</f>
        <v>0</v>
      </c>
      <c r="V29" s="164" t="s">
        <v>89</v>
      </c>
      <c r="W29" s="41">
        <f>0/A1</f>
        <v>0</v>
      </c>
      <c r="X29" s="169" t="s">
        <v>89</v>
      </c>
      <c r="Y29" s="173" t="s">
        <v>89</v>
      </c>
      <c r="Z29" s="165">
        <v>0</v>
      </c>
      <c r="AA29" s="143" t="s">
        <v>89</v>
      </c>
      <c r="AB29" s="147" t="s">
        <v>89</v>
      </c>
      <c r="AC29" s="53" t="s">
        <v>89</v>
      </c>
      <c r="AD29" s="175" t="s">
        <v>89</v>
      </c>
      <c r="AE29" s="54">
        <v>0</v>
      </c>
      <c r="AF29" s="54">
        <v>3190</v>
      </c>
      <c r="AG29" s="156" t="s">
        <v>89</v>
      </c>
      <c r="AH29" s="156" t="s">
        <v>89</v>
      </c>
      <c r="AI29" s="176" t="e">
        <f t="shared" si="1"/>
        <v>#DIV/0!</v>
      </c>
      <c r="AJ29" s="176">
        <f t="shared" si="2"/>
        <v>185822.53918495297</v>
      </c>
      <c r="AK29" s="174" t="e">
        <f t="shared" si="3"/>
        <v>#DIV/0!</v>
      </c>
      <c r="AL29" s="174">
        <f t="shared" si="4"/>
        <v>37774.294670846393</v>
      </c>
      <c r="AM29" s="144" t="s">
        <v>90</v>
      </c>
      <c r="AN29" s="126" t="s">
        <v>231</v>
      </c>
      <c r="AO29" s="130" t="s">
        <v>92</v>
      </c>
      <c r="AP29" s="130" t="s">
        <v>93</v>
      </c>
      <c r="AQ29" s="130" t="s">
        <v>92</v>
      </c>
      <c r="AR29" s="130" t="s">
        <v>94</v>
      </c>
      <c r="AS29" s="145" t="s">
        <v>95</v>
      </c>
      <c r="AT29" s="130" t="s">
        <v>128</v>
      </c>
    </row>
    <row r="30" spans="1:46" ht="156">
      <c r="A30" s="141">
        <v>25</v>
      </c>
      <c r="B30" s="77" t="s">
        <v>232</v>
      </c>
      <c r="C30" s="77"/>
      <c r="D30" s="119" t="s">
        <v>233</v>
      </c>
      <c r="E30" s="77" t="s">
        <v>79</v>
      </c>
      <c r="F30" s="77" t="s">
        <v>99</v>
      </c>
      <c r="G30" s="112" t="s">
        <v>81</v>
      </c>
      <c r="H30" s="112" t="s">
        <v>124</v>
      </c>
      <c r="I30" s="112" t="s">
        <v>83</v>
      </c>
      <c r="J30" s="112" t="s">
        <v>116</v>
      </c>
      <c r="K30" s="122" t="s">
        <v>85</v>
      </c>
      <c r="L30" s="120" t="s">
        <v>211</v>
      </c>
      <c r="M30" s="146" t="s">
        <v>212</v>
      </c>
      <c r="N30" s="77" t="s">
        <v>24</v>
      </c>
      <c r="O30" s="142">
        <f>P30*1.23</f>
        <v>1968000000</v>
      </c>
      <c r="P30" s="142">
        <v>1600000000</v>
      </c>
      <c r="Q30" s="142">
        <v>481930000</v>
      </c>
      <c r="R30" s="168"/>
      <c r="S30" s="168">
        <v>50000000</v>
      </c>
      <c r="T30" s="164"/>
      <c r="U30" s="134">
        <f>0/A1</f>
        <v>0</v>
      </c>
      <c r="V30" s="164" t="s">
        <v>89</v>
      </c>
      <c r="W30" s="41">
        <f>0/A1</f>
        <v>0</v>
      </c>
      <c r="X30" s="169" t="s">
        <v>89</v>
      </c>
      <c r="Y30" s="173" t="s">
        <v>89</v>
      </c>
      <c r="Z30" s="165">
        <v>0</v>
      </c>
      <c r="AA30" s="143" t="s">
        <v>89</v>
      </c>
      <c r="AB30" s="147" t="s">
        <v>89</v>
      </c>
      <c r="AC30" s="53" t="s">
        <v>89</v>
      </c>
      <c r="AD30" s="175" t="s">
        <v>89</v>
      </c>
      <c r="AE30" s="54">
        <v>0</v>
      </c>
      <c r="AF30" s="54">
        <v>73394</v>
      </c>
      <c r="AG30" s="156" t="s">
        <v>89</v>
      </c>
      <c r="AH30" s="156" t="s">
        <v>89</v>
      </c>
      <c r="AI30" s="176" t="e">
        <f t="shared" ref="AI30:AI35" si="7">O30/AE30</f>
        <v>#DIV/0!</v>
      </c>
      <c r="AJ30" s="176">
        <f t="shared" ref="AJ30:AJ35" si="8">O30/AF30</f>
        <v>26814.180995721723</v>
      </c>
      <c r="AK30" s="174" t="e">
        <f t="shared" ref="AK30:AK35" si="9">SUM(R30+S30+T30)/AE30</f>
        <v>#DIV/0!</v>
      </c>
      <c r="AL30" s="174">
        <f t="shared" ref="AL30:AL35" si="10">SUM(R30+S30+T30)/AF30</f>
        <v>681.25459846853971</v>
      </c>
      <c r="AM30" s="144" t="s">
        <v>90</v>
      </c>
      <c r="AN30" s="126" t="s">
        <v>234</v>
      </c>
      <c r="AO30" s="130" t="s">
        <v>92</v>
      </c>
      <c r="AP30" s="130" t="s">
        <v>93</v>
      </c>
      <c r="AQ30" s="130" t="s">
        <v>92</v>
      </c>
      <c r="AR30" s="130" t="s">
        <v>94</v>
      </c>
      <c r="AS30" s="145" t="s">
        <v>95</v>
      </c>
      <c r="AT30" s="130" t="s">
        <v>128</v>
      </c>
    </row>
    <row r="31" spans="1:46" ht="83.4" customHeight="1">
      <c r="A31" s="141">
        <v>26</v>
      </c>
      <c r="B31" s="77" t="s">
        <v>235</v>
      </c>
      <c r="C31" s="77"/>
      <c r="D31" s="120" t="s">
        <v>236</v>
      </c>
      <c r="E31" s="77" t="s">
        <v>79</v>
      </c>
      <c r="F31" s="77" t="s">
        <v>99</v>
      </c>
      <c r="G31" s="112" t="s">
        <v>81</v>
      </c>
      <c r="H31" s="112" t="s">
        <v>124</v>
      </c>
      <c r="I31" s="112" t="s">
        <v>108</v>
      </c>
      <c r="J31" s="112" t="s">
        <v>84</v>
      </c>
      <c r="K31" s="122" t="s">
        <v>85</v>
      </c>
      <c r="L31" s="120" t="s">
        <v>237</v>
      </c>
      <c r="M31" s="146" t="s">
        <v>206</v>
      </c>
      <c r="N31" s="77" t="s">
        <v>24</v>
      </c>
      <c r="O31" s="142">
        <f>P31*1.23</f>
        <v>5248000000.4099998</v>
      </c>
      <c r="P31" s="142">
        <v>4266666667</v>
      </c>
      <c r="Q31" s="142">
        <v>2470000000</v>
      </c>
      <c r="R31" s="168">
        <v>900000000</v>
      </c>
      <c r="S31" s="168">
        <v>400000000</v>
      </c>
      <c r="T31" s="164"/>
      <c r="U31" s="134">
        <f>1996931358/A1</f>
        <v>466507348.96977061</v>
      </c>
      <c r="V31" s="164" t="s">
        <v>238</v>
      </c>
      <c r="W31" s="41">
        <f>133598371/A1</f>
        <v>31210197.402233332</v>
      </c>
      <c r="X31" s="174" t="s">
        <v>238</v>
      </c>
      <c r="Y31" s="174" t="s">
        <v>238</v>
      </c>
      <c r="Z31" s="165">
        <f>81604.05/A1</f>
        <v>19063.694341914688</v>
      </c>
      <c r="AA31" s="143" t="s">
        <v>89</v>
      </c>
      <c r="AB31" s="147">
        <v>1192264</v>
      </c>
      <c r="AC31" s="53">
        <v>2878590</v>
      </c>
      <c r="AD31" s="175">
        <f>AB31/AC31</f>
        <v>0.4141833328122449</v>
      </c>
      <c r="AE31" s="54">
        <v>661831</v>
      </c>
      <c r="AF31" s="54">
        <v>910417</v>
      </c>
      <c r="AG31" s="156" t="s">
        <v>89</v>
      </c>
      <c r="AH31" s="156" t="s">
        <v>89</v>
      </c>
      <c r="AI31" s="176">
        <f t="shared" si="7"/>
        <v>7929.5167503637631</v>
      </c>
      <c r="AJ31" s="176">
        <f t="shared" si="8"/>
        <v>5764.3914825953379</v>
      </c>
      <c r="AK31" s="174">
        <f t="shared" si="9"/>
        <v>1964.2476704778107</v>
      </c>
      <c r="AL31" s="174">
        <f t="shared" si="10"/>
        <v>1427.9170973301245</v>
      </c>
      <c r="AM31" s="144" t="s">
        <v>239</v>
      </c>
      <c r="AN31" s="126" t="s">
        <v>240</v>
      </c>
      <c r="AO31" s="130" t="s">
        <v>92</v>
      </c>
      <c r="AP31" s="130" t="s">
        <v>93</v>
      </c>
      <c r="AQ31" s="130" t="s">
        <v>92</v>
      </c>
      <c r="AR31" s="130" t="s">
        <v>94</v>
      </c>
      <c r="AS31" s="153" t="s">
        <v>241</v>
      </c>
      <c r="AT31" s="130" t="s">
        <v>128</v>
      </c>
    </row>
    <row r="32" spans="1:46" ht="280.8">
      <c r="A32" s="141">
        <v>27</v>
      </c>
      <c r="B32" s="77" t="s">
        <v>242</v>
      </c>
      <c r="C32" s="77"/>
      <c r="D32" s="120" t="s">
        <v>243</v>
      </c>
      <c r="E32" s="77" t="s">
        <v>79</v>
      </c>
      <c r="F32" s="77" t="s">
        <v>99</v>
      </c>
      <c r="G32" s="112" t="s">
        <v>81</v>
      </c>
      <c r="H32" s="112" t="s">
        <v>244</v>
      </c>
      <c r="I32" s="112" t="s">
        <v>83</v>
      </c>
      <c r="J32" s="112" t="s">
        <v>116</v>
      </c>
      <c r="K32" s="122" t="s">
        <v>85</v>
      </c>
      <c r="L32" s="120" t="s">
        <v>245</v>
      </c>
      <c r="M32" s="146" t="s">
        <v>150</v>
      </c>
      <c r="N32" s="77" t="s">
        <v>24</v>
      </c>
      <c r="O32" s="142">
        <v>382800000</v>
      </c>
      <c r="P32" s="142">
        <v>311200000</v>
      </c>
      <c r="Q32" s="142">
        <v>247000000</v>
      </c>
      <c r="R32" s="168"/>
      <c r="S32" s="168">
        <v>12000000</v>
      </c>
      <c r="T32" s="164"/>
      <c r="U32" s="134">
        <f>0/A1</f>
        <v>0</v>
      </c>
      <c r="V32" s="164" t="s">
        <v>89</v>
      </c>
      <c r="W32" s="41">
        <f>0/A1</f>
        <v>0</v>
      </c>
      <c r="X32" s="169" t="s">
        <v>89</v>
      </c>
      <c r="Y32" s="173" t="s">
        <v>89</v>
      </c>
      <c r="Z32" s="165">
        <v>0</v>
      </c>
      <c r="AA32" s="143" t="s">
        <v>89</v>
      </c>
      <c r="AB32" s="147" t="s">
        <v>89</v>
      </c>
      <c r="AC32" s="53" t="s">
        <v>89</v>
      </c>
      <c r="AD32" s="175" t="s">
        <v>89</v>
      </c>
      <c r="AE32" s="54">
        <v>0</v>
      </c>
      <c r="AF32" s="54">
        <v>107581</v>
      </c>
      <c r="AG32" s="156">
        <v>0</v>
      </c>
      <c r="AH32" s="156">
        <v>32</v>
      </c>
      <c r="AI32" s="176" t="e">
        <f t="shared" si="7"/>
        <v>#DIV/0!</v>
      </c>
      <c r="AJ32" s="176">
        <f t="shared" si="8"/>
        <v>3558.249133211255</v>
      </c>
      <c r="AK32" s="174" t="e">
        <f t="shared" si="9"/>
        <v>#DIV/0!</v>
      </c>
      <c r="AL32" s="174">
        <f t="shared" si="10"/>
        <v>111.54385997527444</v>
      </c>
      <c r="AM32" s="144" t="s">
        <v>90</v>
      </c>
      <c r="AN32" s="126" t="s">
        <v>246</v>
      </c>
      <c r="AO32" s="130" t="s">
        <v>92</v>
      </c>
      <c r="AP32" s="130" t="s">
        <v>93</v>
      </c>
      <c r="AQ32" s="130" t="s">
        <v>92</v>
      </c>
      <c r="AR32" s="130" t="s">
        <v>94</v>
      </c>
      <c r="AS32" s="145" t="s">
        <v>95</v>
      </c>
      <c r="AT32" s="130" t="s">
        <v>128</v>
      </c>
    </row>
    <row r="33" spans="1:46" ht="115.2">
      <c r="A33" s="141">
        <v>28</v>
      </c>
      <c r="B33" s="77" t="s">
        <v>195</v>
      </c>
      <c r="C33" s="77"/>
      <c r="D33" s="120" t="s">
        <v>247</v>
      </c>
      <c r="E33" s="77" t="s">
        <v>79</v>
      </c>
      <c r="F33" s="77" t="s">
        <v>80</v>
      </c>
      <c r="G33" s="112" t="s">
        <v>81</v>
      </c>
      <c r="H33" s="112" t="s">
        <v>82</v>
      </c>
      <c r="I33" s="112" t="s">
        <v>100</v>
      </c>
      <c r="J33" s="112" t="s">
        <v>84</v>
      </c>
      <c r="K33" s="122" t="s">
        <v>85</v>
      </c>
      <c r="L33" s="120" t="s">
        <v>248</v>
      </c>
      <c r="M33" s="146" t="s">
        <v>249</v>
      </c>
      <c r="N33" s="77" t="s">
        <v>24</v>
      </c>
      <c r="O33" s="142">
        <f>P33*1.23</f>
        <v>30750000</v>
      </c>
      <c r="P33" s="142">
        <v>25000000</v>
      </c>
      <c r="Q33" s="142">
        <v>25000000</v>
      </c>
      <c r="R33" s="168"/>
      <c r="S33" s="168">
        <v>24600000</v>
      </c>
      <c r="T33" s="164"/>
      <c r="U33" s="134">
        <f>0/A1</f>
        <v>0</v>
      </c>
      <c r="V33" s="164" t="s">
        <v>89</v>
      </c>
      <c r="W33" s="41">
        <f>0/A1</f>
        <v>0</v>
      </c>
      <c r="X33" s="169" t="s">
        <v>89</v>
      </c>
      <c r="Y33" s="173" t="s">
        <v>89</v>
      </c>
      <c r="Z33" s="165">
        <v>0</v>
      </c>
      <c r="AA33" s="143" t="s">
        <v>89</v>
      </c>
      <c r="AB33" s="147">
        <v>0</v>
      </c>
      <c r="AC33" s="53">
        <v>107864</v>
      </c>
      <c r="AD33" s="175">
        <f>AB33/AC33</f>
        <v>0</v>
      </c>
      <c r="AE33" s="54">
        <v>0</v>
      </c>
      <c r="AF33" s="54">
        <v>32704</v>
      </c>
      <c r="AG33" s="156" t="s">
        <v>89</v>
      </c>
      <c r="AH33" s="156" t="s">
        <v>89</v>
      </c>
      <c r="AI33" s="176" t="e">
        <f t="shared" si="7"/>
        <v>#DIV/0!</v>
      </c>
      <c r="AJ33" s="176">
        <f t="shared" si="8"/>
        <v>940.2519569471624</v>
      </c>
      <c r="AK33" s="174" t="e">
        <f t="shared" si="9"/>
        <v>#DIV/0!</v>
      </c>
      <c r="AL33" s="174">
        <f t="shared" si="10"/>
        <v>752.20156555772996</v>
      </c>
      <c r="AM33" s="144" t="s">
        <v>250</v>
      </c>
      <c r="AN33" s="126" t="s">
        <v>251</v>
      </c>
      <c r="AO33" s="130" t="s">
        <v>92</v>
      </c>
      <c r="AP33" s="130" t="s">
        <v>93</v>
      </c>
      <c r="AQ33" s="130" t="s">
        <v>92</v>
      </c>
      <c r="AR33" s="130" t="s">
        <v>94</v>
      </c>
      <c r="AS33" s="154" t="s">
        <v>252</v>
      </c>
      <c r="AT33" s="130" t="s">
        <v>128</v>
      </c>
    </row>
    <row r="34" spans="1:46" ht="374.4">
      <c r="A34" s="141">
        <v>29</v>
      </c>
      <c r="B34" s="77" t="s">
        <v>253</v>
      </c>
      <c r="C34" s="77"/>
      <c r="D34" s="120" t="s">
        <v>254</v>
      </c>
      <c r="E34" s="77" t="s">
        <v>79</v>
      </c>
      <c r="F34" s="77" t="s">
        <v>80</v>
      </c>
      <c r="G34" s="112" t="s">
        <v>81</v>
      </c>
      <c r="H34" s="112" t="s">
        <v>82</v>
      </c>
      <c r="I34" s="112" t="s">
        <v>169</v>
      </c>
      <c r="J34" s="112" t="s">
        <v>116</v>
      </c>
      <c r="K34" s="122" t="s">
        <v>85</v>
      </c>
      <c r="L34" s="120" t="s">
        <v>255</v>
      </c>
      <c r="M34" s="146"/>
      <c r="N34" s="77" t="s">
        <v>24</v>
      </c>
      <c r="O34" s="142">
        <v>212870000</v>
      </c>
      <c r="P34" s="142">
        <f>O34/1.23</f>
        <v>173065040.65040651</v>
      </c>
      <c r="Q34" s="142">
        <v>119750000</v>
      </c>
      <c r="R34" s="168"/>
      <c r="S34" s="168">
        <v>10000000</v>
      </c>
      <c r="T34" s="164"/>
      <c r="U34" s="134">
        <f>0/A1</f>
        <v>0</v>
      </c>
      <c r="V34" s="164" t="s">
        <v>89</v>
      </c>
      <c r="W34" s="41">
        <f>0/A1</f>
        <v>0</v>
      </c>
      <c r="X34" s="169" t="s">
        <v>89</v>
      </c>
      <c r="Y34" s="173" t="s">
        <v>89</v>
      </c>
      <c r="Z34" s="165">
        <v>0</v>
      </c>
      <c r="AA34" s="143" t="s">
        <v>89</v>
      </c>
      <c r="AB34" s="147">
        <v>0</v>
      </c>
      <c r="AC34" s="53">
        <v>259441</v>
      </c>
      <c r="AD34" s="175">
        <f>AB34/AC34</f>
        <v>0</v>
      </c>
      <c r="AE34" s="54">
        <v>0</v>
      </c>
      <c r="AF34" s="54">
        <v>113039</v>
      </c>
      <c r="AG34" s="156" t="s">
        <v>89</v>
      </c>
      <c r="AH34" s="156" t="s">
        <v>89</v>
      </c>
      <c r="AI34" s="176" t="e">
        <f t="shared" si="7"/>
        <v>#DIV/0!</v>
      </c>
      <c r="AJ34" s="176">
        <f t="shared" si="8"/>
        <v>1883.155371155088</v>
      </c>
      <c r="AK34" s="174" t="e">
        <f t="shared" si="9"/>
        <v>#DIV/0!</v>
      </c>
      <c r="AL34" s="174">
        <f t="shared" si="10"/>
        <v>88.465043038243437</v>
      </c>
      <c r="AM34" s="144" t="s">
        <v>90</v>
      </c>
      <c r="AN34" s="126" t="s">
        <v>256</v>
      </c>
      <c r="AO34" s="130" t="s">
        <v>92</v>
      </c>
      <c r="AP34" s="130" t="s">
        <v>93</v>
      </c>
      <c r="AQ34" s="130" t="s">
        <v>92</v>
      </c>
      <c r="AR34" s="130" t="s">
        <v>94</v>
      </c>
      <c r="AS34" s="145" t="s">
        <v>95</v>
      </c>
      <c r="AT34" s="130" t="s">
        <v>128</v>
      </c>
    </row>
    <row r="35" spans="1:46" ht="115.2">
      <c r="A35" s="141">
        <v>30</v>
      </c>
      <c r="B35" s="77" t="s">
        <v>257</v>
      </c>
      <c r="C35" s="77"/>
      <c r="D35" s="120" t="s">
        <v>258</v>
      </c>
      <c r="E35" s="77" t="s">
        <v>197</v>
      </c>
      <c r="F35" s="77" t="s">
        <v>99</v>
      </c>
      <c r="G35" s="112" t="s">
        <v>81</v>
      </c>
      <c r="H35" s="112" t="s">
        <v>244</v>
      </c>
      <c r="I35" s="112" t="s">
        <v>83</v>
      </c>
      <c r="J35" s="112" t="s">
        <v>116</v>
      </c>
      <c r="K35" s="122" t="s">
        <v>85</v>
      </c>
      <c r="L35" s="120" t="s">
        <v>259</v>
      </c>
      <c r="M35" s="146"/>
      <c r="N35" s="77" t="s">
        <v>24</v>
      </c>
      <c r="O35" s="142">
        <v>663000000</v>
      </c>
      <c r="P35" s="142">
        <f>O35/1.23</f>
        <v>539024390.24390244</v>
      </c>
      <c r="Q35" s="142">
        <v>198000000</v>
      </c>
      <c r="R35" s="168"/>
      <c r="S35" s="168">
        <v>24800000</v>
      </c>
      <c r="T35" s="164"/>
      <c r="U35" s="134">
        <f>0/A1</f>
        <v>0</v>
      </c>
      <c r="V35" s="164" t="s">
        <v>89</v>
      </c>
      <c r="W35" s="41">
        <f>0/A1</f>
        <v>0</v>
      </c>
      <c r="X35" s="169" t="s">
        <v>89</v>
      </c>
      <c r="Y35" s="173" t="s">
        <v>89</v>
      </c>
      <c r="Z35" s="165">
        <v>0</v>
      </c>
      <c r="AA35" s="152" t="s">
        <v>200</v>
      </c>
      <c r="AB35" s="147" t="s">
        <v>89</v>
      </c>
      <c r="AC35" s="53" t="s">
        <v>89</v>
      </c>
      <c r="AD35" s="175" t="s">
        <v>89</v>
      </c>
      <c r="AE35" s="54">
        <v>0</v>
      </c>
      <c r="AF35" s="54">
        <v>36500</v>
      </c>
      <c r="AG35" s="156" t="s">
        <v>89</v>
      </c>
      <c r="AH35" s="156" t="s">
        <v>89</v>
      </c>
      <c r="AI35" s="176" t="e">
        <f t="shared" si="7"/>
        <v>#DIV/0!</v>
      </c>
      <c r="AJ35" s="176">
        <f t="shared" si="8"/>
        <v>18164.383561643837</v>
      </c>
      <c r="AK35" s="174" t="e">
        <f t="shared" si="9"/>
        <v>#DIV/0!</v>
      </c>
      <c r="AL35" s="174">
        <f t="shared" si="10"/>
        <v>679.45205479452056</v>
      </c>
      <c r="AM35" s="144" t="s">
        <v>90</v>
      </c>
      <c r="AN35" s="126" t="s">
        <v>246</v>
      </c>
      <c r="AO35" s="130" t="s">
        <v>92</v>
      </c>
      <c r="AP35" s="130" t="s">
        <v>93</v>
      </c>
      <c r="AQ35" s="130" t="s">
        <v>92</v>
      </c>
      <c r="AR35" s="130" t="s">
        <v>94</v>
      </c>
      <c r="AS35" s="145" t="s">
        <v>95</v>
      </c>
      <c r="AT35" s="130" t="s">
        <v>128</v>
      </c>
    </row>
    <row r="36" spans="1:46">
      <c r="F36" s="125"/>
    </row>
    <row r="37" spans="1:46">
      <c r="R37" s="136"/>
      <c r="S37" s="136"/>
    </row>
    <row r="40" spans="1:46">
      <c r="S40" s="137"/>
    </row>
  </sheetData>
  <autoFilter ref="A6:AT6" xr:uid="{48DE1D1D-856E-4E55-94A4-1D94E8297831}"/>
  <mergeCells count="40">
    <mergeCell ref="AP3:AP5"/>
    <mergeCell ref="O3:O5"/>
    <mergeCell ref="P3:P5"/>
    <mergeCell ref="Q3:Q5"/>
    <mergeCell ref="U3:U5"/>
    <mergeCell ref="W3:W5"/>
    <mergeCell ref="AI4:AJ4"/>
    <mergeCell ref="AB4:AD4"/>
    <mergeCell ref="R3:T4"/>
    <mergeCell ref="L3:L5"/>
    <mergeCell ref="K3:K5"/>
    <mergeCell ref="N3:N5"/>
    <mergeCell ref="C3:C5"/>
    <mergeCell ref="A2:N2"/>
    <mergeCell ref="A3:A5"/>
    <mergeCell ref="B3:B5"/>
    <mergeCell ref="D3:D5"/>
    <mergeCell ref="E3:E5"/>
    <mergeCell ref="F3:F5"/>
    <mergeCell ref="H3:H5"/>
    <mergeCell ref="G3:G5"/>
    <mergeCell ref="I3:I5"/>
    <mergeCell ref="J3:J5"/>
    <mergeCell ref="M3:M5"/>
    <mergeCell ref="AB2:AL2"/>
    <mergeCell ref="AA3:AA5"/>
    <mergeCell ref="O2:AA2"/>
    <mergeCell ref="AM2:AT2"/>
    <mergeCell ref="AT3:AT5"/>
    <mergeCell ref="AR3:AR5"/>
    <mergeCell ref="AS3:AS5"/>
    <mergeCell ref="AE4:AF4"/>
    <mergeCell ref="AG4:AH4"/>
    <mergeCell ref="AK4:AL4"/>
    <mergeCell ref="Z3:Z5"/>
    <mergeCell ref="AB3:AL3"/>
    <mergeCell ref="AM3:AM5"/>
    <mergeCell ref="AN3:AN5"/>
    <mergeCell ref="AO3:AO5"/>
    <mergeCell ref="AQ3:AQ5"/>
  </mergeCells>
  <phoneticPr fontId="16" type="noConversion"/>
  <conditionalFormatting sqref="B6:B14 B17:B30">
    <cfRule type="duplicateValues" dxfId="5" priority="4"/>
  </conditionalFormatting>
  <conditionalFormatting sqref="B15:B16 C6:C10 C17:C22 C24:C30 C13:C15">
    <cfRule type="duplicateValues" dxfId="4" priority="3"/>
  </conditionalFormatting>
  <conditionalFormatting sqref="B31:B35">
    <cfRule type="duplicateValues" dxfId="3" priority="5"/>
  </conditionalFormatting>
  <conditionalFormatting sqref="C12">
    <cfRule type="duplicateValues" dxfId="2" priority="2"/>
  </conditionalFormatting>
  <conditionalFormatting sqref="C23">
    <cfRule type="duplicateValues" dxfId="1" priority="1"/>
  </conditionalFormatting>
  <conditionalFormatting sqref="C31:C35">
    <cfRule type="duplicateValues" dxfId="0" priority="6"/>
  </conditionalFormatting>
  <dataValidations count="4">
    <dataValidation type="list" allowBlank="1" showInputMessage="1" showErrorMessage="1" sqref="E6:E1048576 E2" xr:uid="{7AD00450-548D-4A91-9294-55570F9B5C94}">
      <formula1>"Priority, Non-priority"</formula1>
    </dataValidation>
    <dataValidation type="list" allowBlank="1" showInputMessage="1" showErrorMessage="1" sqref="F6:F35" xr:uid="{F1C02AC7-F13F-40C2-A964-673D490CE711}">
      <formula1>"Project, Large-scale project, Scheme, Large-scale scheme"</formula1>
    </dataValidation>
    <dataValidation type="list" allowBlank="1" showInputMessage="1" showErrorMessage="1" sqref="H105:J1048576 M105:M1048576 M2 H2:J2" xr:uid="{403B201E-4D21-4D22-B240-9F1811D9D6B5}">
      <formula1>"Early stages, Advanced stage, Completed"</formula1>
    </dataValidation>
    <dataValidation type="list" allowBlank="1" showInputMessage="1" showErrorMessage="1" sqref="M36:M104 K36:K71 H36:J104" xr:uid="{71E7E14B-6310-4569-B612-96053BB01E55}">
      <formula1>"Not started, Tender ongoing, Construction ongoing, Complete"</formula1>
    </dataValidation>
  </dataValidations>
  <hyperlinks>
    <hyperlink ref="K6" r:id="rId1" display="https://www.gov.pl/web/funduszmodernizacyjny/Programy-Priorytetowe" xr:uid="{BA454314-75F2-4E49-B14A-4B90473FEB0C}"/>
    <hyperlink ref="K7" r:id="rId2" display="https://www.gov.pl/web/funduszmodernizacyjny/Programy-Priorytetowe" xr:uid="{627035AC-A878-4F32-AA9B-A2DF3A249670}"/>
    <hyperlink ref="K8" r:id="rId3" display="https://www.gov.pl/web/funduszmodernizacyjny/Programy-Priorytetowe" xr:uid="{3D2B917E-859B-4F38-9448-BAAA28958C5F}"/>
    <hyperlink ref="K9" r:id="rId4" display="https://www.gov.pl/web/funduszmodernizacyjny/Programy-Priorytetowe" xr:uid="{92BC75AC-385A-4097-B601-3D928FC49E31}"/>
    <hyperlink ref="K10" r:id="rId5" display="https://www.gov.pl/web/funduszmodernizacyjny/Programy-Priorytetowe" xr:uid="{0C8D298E-417B-413B-9773-4460DAB9FA29}"/>
    <hyperlink ref="K11" r:id="rId6" display="https://www.gov.pl/web/funduszmodernizacyjny/Programy-Priorytetowe" xr:uid="{5A2406A9-6D20-41B7-AC3F-8A9934A46084}"/>
    <hyperlink ref="K12" r:id="rId7" display="https://www.gov.pl/web/funduszmodernizacyjny/Programy-Priorytetowe" xr:uid="{8706F3DF-6382-4110-98B5-A3EC059EA840}"/>
    <hyperlink ref="K13" r:id="rId8" display="https://www.gov.pl/web/funduszmodernizacyjny/Programy-Priorytetowe" xr:uid="{C351E428-7C2D-468B-9387-AF796275DBBD}"/>
    <hyperlink ref="K14" r:id="rId9" display="https://www.gov.pl/web/funduszmodernizacyjny/Programy-Priorytetowe" xr:uid="{5C043698-5FA9-4A5D-A958-AD0DFD8ABC7A}"/>
    <hyperlink ref="K17" r:id="rId10" display="https://www.gov.pl/web/funduszmodernizacyjny/Programy-Priorytetowe" xr:uid="{E59055EC-9783-4E39-B24D-30A4DAA6E6BA}"/>
    <hyperlink ref="K18" r:id="rId11" display="https://www.gov.pl/web/funduszmodernizacyjny/Programy-Priorytetowe" xr:uid="{14237E42-5550-47D6-9277-8D8F0D48CEDE}"/>
    <hyperlink ref="K19" r:id="rId12" display="https://www.gov.pl/web/funduszmodernizacyjny/Programy-Priorytetowe" xr:uid="{2A7A6C74-A00D-4ABC-A0F2-533E8E5B86B2}"/>
    <hyperlink ref="K20" r:id="rId13" display="https://www.gov.pl/web/funduszmodernizacyjny/Programy-Priorytetowe" xr:uid="{EF5B4C61-86D5-4F8B-80F0-87DD4250D9B2}"/>
    <hyperlink ref="K21" r:id="rId14" display="https://www.gov.pl/web/funduszmodernizacyjny/Programy-Priorytetowe" xr:uid="{895CF5A8-4FB4-4AF0-994D-CC755343F1FB}"/>
    <hyperlink ref="K22" r:id="rId15" display="https://www.gov.pl/web/funduszmodernizacyjny/Programy-Priorytetowe" xr:uid="{2C0BCEFB-CCF8-41C4-9311-04F3F3DBE5AF}"/>
    <hyperlink ref="K23" r:id="rId16" display="https://www.gov.pl/web/funduszmodernizacyjny/Programy-Priorytetowe" xr:uid="{CA395E48-0784-4E85-B159-144A6442974E}"/>
    <hyperlink ref="K24" r:id="rId17" display="https://www.gov.pl/web/funduszmodernizacyjny/Programy-Priorytetowe" xr:uid="{8023BA9A-2D52-45AC-B3C3-1E0D150348D7}"/>
    <hyperlink ref="K25" r:id="rId18" display="https://www.gov.pl/web/funduszmodernizacyjny/Programy-Priorytetowe" xr:uid="{34389931-40D5-45C0-8F5D-63455F862377}"/>
    <hyperlink ref="K26" r:id="rId19" display="https://www.gov.pl/web/funduszmodernizacyjny/Programy-Priorytetowe" xr:uid="{08B8608D-D6E9-491B-A281-48DF0D585946}"/>
    <hyperlink ref="K28" r:id="rId20" display="https://www.gov.pl/web/funduszmodernizacyjny/Programy-Priorytetowe" xr:uid="{94B8CC53-6FFE-4E4D-AA0E-423D63101AE4}"/>
    <hyperlink ref="K29" r:id="rId21" display="https://www.gov.pl/web/funduszmodernizacyjny/Programy-Priorytetowe" xr:uid="{13FA7136-C8EB-42FA-AB97-9D7BBA47AB3B}"/>
    <hyperlink ref="K30" r:id="rId22" display="https://www.gov.pl/web/funduszmodernizacyjny/Programy-Priorytetowe" xr:uid="{B60A2A9F-6BF0-47F9-98FE-8341EF6B9B8F}"/>
    <hyperlink ref="K15" r:id="rId23" display="https://www.gov.pl/web/funduszmodernizacyjny/Programy-Priorytetowe" xr:uid="{A3EE5A5E-2DD3-4C86-B25B-CA3FE64B8DAF}"/>
    <hyperlink ref="K16" r:id="rId24" display="https://www.gov.pl/web/funduszmodernizacyjny/Programy-Priorytetowe" xr:uid="{91ECF0A1-A873-434A-8014-AB156FDDDD1A}"/>
    <hyperlink ref="K27" r:id="rId25" display="https://www.gov.pl/web/funduszmodernizacyjny/Programy-Priorytetowe" xr:uid="{E2F44504-B131-40E4-97F8-D008059BDDE8}"/>
    <hyperlink ref="K31" r:id="rId26" display="https://www.gov.pl/web/funduszmodernizacyjny/Programy-Priorytetowe" xr:uid="{FF59D84B-9AA9-4519-8F17-B118447BB8DF}"/>
    <hyperlink ref="K32:K35" r:id="rId27" display="https://www.gov.pl/web/funduszmodernizacyjny/Programy-Priorytetowe" xr:uid="{EF6CCDE4-C957-45E8-ADB7-83B817AABA7A}"/>
    <hyperlink ref="AS31" r:id="rId28" xr:uid="{E19277D3-22DD-4E06-8311-FE6031A8417F}"/>
    <hyperlink ref="AS33" r:id="rId29" xr:uid="{E8BB8D7F-3803-4615-B171-C521B815A6AF}"/>
  </hyperlinks>
  <pageMargins left="0.7" right="0.7" top="0.75" bottom="0.75" header="0.3" footer="0.3"/>
  <pageSetup paperSize="9" orientation="portrait" verticalDpi="0" r:id="rId30"/>
  <extLst>
    <ext xmlns:x14="http://schemas.microsoft.com/office/spreadsheetml/2009/9/main" uri="{CCE6A557-97BC-4b89-ADB6-D9C93CAAB3DF}">
      <x14:dataValidations xmlns:xm="http://schemas.microsoft.com/office/excel/2006/main" count="5">
        <x14:dataValidation type="list" allowBlank="1" showInputMessage="1" showErrorMessage="1" xr:uid="{6F644287-CCA1-4673-913D-C4F0A7EB196F}">
          <x14:formula1>
            <xm:f>'Dropdown Menu'!$I$4:$I$7</xm:f>
          </x14:formula1>
          <xm:sqref>G6:G35</xm:sqref>
        </x14:dataValidation>
        <x14:dataValidation type="list" allowBlank="1" showInputMessage="1" showErrorMessage="1" xr:uid="{0DFA8758-8995-4CDB-A546-C75393454D2D}">
          <x14:formula1>
            <xm:f>'Dropdown Menu'!$L$4:$L$12</xm:f>
          </x14:formula1>
          <xm:sqref>I6:I35</xm:sqref>
        </x14:dataValidation>
        <x14:dataValidation type="list" allowBlank="1" showInputMessage="1" showErrorMessage="1" xr:uid="{2D4C2A19-3C02-4390-9D08-FC8EEB47A7C2}">
          <x14:formula1>
            <xm:f>'Dropdown Menu'!$N$4:$N$10</xm:f>
          </x14:formula1>
          <xm:sqref>J6:J35</xm:sqref>
        </x14:dataValidation>
        <x14:dataValidation type="list" allowBlank="1" showInputMessage="1" showErrorMessage="1" xr:uid="{1EF44B0E-710B-4EB9-B895-DC29079C6184}">
          <x14:formula1>
            <xm:f>'Dropdown Menu'!$F$4:$F$9</xm:f>
          </x14:formula1>
          <xm:sqref>H6:H35</xm:sqref>
        </x14:dataValidation>
        <x14:dataValidation type="list" allowBlank="1" showInputMessage="1" showErrorMessage="1" xr:uid="{5DB5316E-6A0E-477F-9D89-9F012DAA1AF0}">
          <x14:formula1>
            <xm:f>'Dropdown Menu'!$R$4:$R$28</xm:f>
          </x14:formula1>
          <xm:sqref>M6:M35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B04C9-A2CA-46A1-95DD-26498CC5F4A6}">
  <dimension ref="A1:O19"/>
  <sheetViews>
    <sheetView zoomScale="55" zoomScaleNormal="55" zoomScalePageLayoutView="60" workbookViewId="0">
      <pane xSplit="2" ySplit="2" topLeftCell="F3" activePane="bottomRight" state="frozen"/>
      <selection pane="topRight" activeCell="C1" sqref="C1"/>
      <selection pane="bottomLeft" activeCell="A2" sqref="A2"/>
      <selection pane="bottomRight" activeCell="A3" sqref="A3:XFD5"/>
    </sheetView>
  </sheetViews>
  <sheetFormatPr defaultColWidth="0" defaultRowHeight="0" customHeight="1" zeroHeight="1"/>
  <cols>
    <col min="1" max="1" width="9.109375" customWidth="1"/>
    <col min="2" max="2" width="29.5546875" customWidth="1"/>
    <col min="3" max="8" width="26" style="26" customWidth="1"/>
    <col min="9" max="9" width="29.88671875" style="26" customWidth="1"/>
    <col min="10" max="10" width="26" style="26" customWidth="1"/>
    <col min="11" max="11" width="26" style="61" customWidth="1"/>
    <col min="12" max="14" width="26" style="26" customWidth="1"/>
    <col min="15" max="15" width="38.109375" style="32" customWidth="1"/>
    <col min="16" max="16" width="0" hidden="1" customWidth="1"/>
  </cols>
  <sheetData>
    <row r="1" spans="1:15" ht="15" hidden="1" thickBot="1">
      <c r="K1" s="26"/>
    </row>
    <row r="2" spans="1:15" ht="66" customHeight="1" thickBot="1">
      <c r="A2" s="47"/>
      <c r="B2" s="48"/>
      <c r="C2" s="216" t="s">
        <v>260</v>
      </c>
      <c r="D2" s="217"/>
      <c r="E2" s="217"/>
      <c r="F2" s="217"/>
      <c r="G2" s="217"/>
      <c r="H2" s="217"/>
      <c r="I2" s="217"/>
      <c r="J2" s="217"/>
      <c r="K2" s="230" t="s">
        <v>261</v>
      </c>
      <c r="L2" s="230"/>
      <c r="M2" s="230"/>
      <c r="N2" s="230"/>
      <c r="O2" s="231"/>
    </row>
    <row r="3" spans="1:15" ht="100.5" customHeight="1">
      <c r="A3" s="221" t="s">
        <v>14</v>
      </c>
      <c r="B3" s="224" t="s">
        <v>262</v>
      </c>
      <c r="C3" s="227" t="s">
        <v>263</v>
      </c>
      <c r="D3" s="218" t="s">
        <v>264</v>
      </c>
      <c r="E3" s="218" t="s">
        <v>265</v>
      </c>
      <c r="F3" s="50"/>
      <c r="G3" s="218" t="s">
        <v>266</v>
      </c>
      <c r="H3" s="218" t="s">
        <v>267</v>
      </c>
      <c r="I3" s="218" t="s">
        <v>268</v>
      </c>
      <c r="J3" s="218" t="s">
        <v>269</v>
      </c>
      <c r="K3" s="188" t="s">
        <v>270</v>
      </c>
      <c r="L3" s="188" t="s">
        <v>271</v>
      </c>
      <c r="M3" s="188" t="s">
        <v>272</v>
      </c>
      <c r="N3" s="188" t="s">
        <v>273</v>
      </c>
      <c r="O3" s="184" t="s">
        <v>274</v>
      </c>
    </row>
    <row r="4" spans="1:15" ht="64.5" customHeight="1">
      <c r="A4" s="222"/>
      <c r="B4" s="225"/>
      <c r="C4" s="228"/>
      <c r="D4" s="219"/>
      <c r="E4" s="219"/>
      <c r="F4" s="51" t="s">
        <v>275</v>
      </c>
      <c r="G4" s="219"/>
      <c r="H4" s="219"/>
      <c r="I4" s="219"/>
      <c r="J4" s="219"/>
      <c r="K4" s="188"/>
      <c r="L4" s="188"/>
      <c r="M4" s="188"/>
      <c r="N4" s="188"/>
      <c r="O4" s="184"/>
    </row>
    <row r="5" spans="1:15" ht="119.25" customHeight="1" thickBot="1">
      <c r="A5" s="223"/>
      <c r="B5" s="226"/>
      <c r="C5" s="229"/>
      <c r="D5" s="220"/>
      <c r="E5" s="220"/>
      <c r="F5" s="52"/>
      <c r="G5" s="220"/>
      <c r="H5" s="220"/>
      <c r="I5" s="220"/>
      <c r="J5" s="220"/>
      <c r="K5" s="188"/>
      <c r="L5" s="188"/>
      <c r="M5" s="188"/>
      <c r="N5" s="188"/>
      <c r="O5" s="184"/>
    </row>
    <row r="6" spans="1:15" ht="39.75" customHeight="1">
      <c r="A6" s="23">
        <v>1</v>
      </c>
      <c r="B6" s="33"/>
      <c r="C6" s="40"/>
      <c r="D6" s="39"/>
      <c r="E6" s="55"/>
      <c r="F6" s="71"/>
      <c r="G6" s="71"/>
      <c r="H6" s="71"/>
      <c r="I6" s="49"/>
      <c r="J6" s="49"/>
      <c r="K6" s="62"/>
      <c r="L6" s="62"/>
      <c r="M6" s="62"/>
      <c r="N6" s="39"/>
      <c r="O6" s="67"/>
    </row>
    <row r="7" spans="1:15" ht="39.75" customHeight="1">
      <c r="A7" s="24">
        <v>2</v>
      </c>
      <c r="B7" s="34"/>
      <c r="C7" s="36"/>
      <c r="D7" s="28"/>
      <c r="E7" s="56"/>
      <c r="F7" s="72"/>
      <c r="G7" s="72"/>
      <c r="H7" s="72"/>
      <c r="I7" s="43"/>
      <c r="J7" s="43"/>
      <c r="K7" s="63"/>
      <c r="L7" s="63"/>
      <c r="M7" s="63"/>
      <c r="N7" s="28"/>
      <c r="O7" s="68"/>
    </row>
    <row r="8" spans="1:15" ht="39.75" customHeight="1">
      <c r="A8" s="24">
        <v>3</v>
      </c>
      <c r="B8" s="34"/>
      <c r="C8" s="36"/>
      <c r="D8" s="29"/>
      <c r="E8" s="57"/>
      <c r="F8" s="73"/>
      <c r="G8" s="73"/>
      <c r="H8" s="73"/>
      <c r="I8" s="44"/>
      <c r="J8" s="44"/>
      <c r="K8" s="64"/>
      <c r="L8" s="64"/>
      <c r="M8" s="64"/>
      <c r="N8" s="29"/>
      <c r="O8" s="69"/>
    </row>
    <row r="9" spans="1:15" ht="39.75" customHeight="1">
      <c r="A9" s="24">
        <v>4</v>
      </c>
      <c r="B9" s="34"/>
      <c r="C9" s="36"/>
      <c r="D9" s="27"/>
      <c r="E9" s="58"/>
      <c r="F9" s="74"/>
      <c r="G9" s="74"/>
      <c r="H9" s="74"/>
      <c r="I9" s="42"/>
      <c r="J9" s="42"/>
      <c r="K9" s="65"/>
      <c r="L9" s="65"/>
      <c r="M9" s="65"/>
      <c r="N9" s="27"/>
      <c r="O9" s="70"/>
    </row>
    <row r="10" spans="1:15" ht="39.75" customHeight="1">
      <c r="A10" s="24">
        <v>5</v>
      </c>
      <c r="B10" s="34"/>
      <c r="C10" s="36"/>
      <c r="D10" s="27"/>
      <c r="E10" s="58"/>
      <c r="F10" s="74"/>
      <c r="G10" s="74"/>
      <c r="H10" s="74"/>
      <c r="I10" s="42"/>
      <c r="J10" s="42"/>
      <c r="K10" s="65"/>
      <c r="L10" s="65"/>
      <c r="M10" s="65"/>
      <c r="N10" s="27"/>
      <c r="O10" s="68"/>
    </row>
    <row r="11" spans="1:15" ht="39.75" customHeight="1">
      <c r="A11" s="24">
        <v>6</v>
      </c>
      <c r="B11" s="34"/>
      <c r="C11" s="36"/>
      <c r="D11" s="28"/>
      <c r="E11" s="56"/>
      <c r="F11" s="72"/>
      <c r="G11" s="72"/>
      <c r="H11" s="72"/>
      <c r="I11" s="43"/>
      <c r="J11" s="43"/>
      <c r="K11" s="63"/>
      <c r="L11" s="63"/>
      <c r="M11" s="63"/>
      <c r="N11" s="28"/>
      <c r="O11" s="68"/>
    </row>
    <row r="12" spans="1:15" ht="39.75" customHeight="1">
      <c r="A12" s="24">
        <v>7</v>
      </c>
      <c r="B12" s="34"/>
      <c r="C12" s="36"/>
      <c r="D12" s="29"/>
      <c r="E12" s="57"/>
      <c r="F12" s="73"/>
      <c r="G12" s="73"/>
      <c r="H12" s="73"/>
      <c r="I12" s="44"/>
      <c r="J12" s="44"/>
      <c r="K12" s="64"/>
      <c r="L12" s="64"/>
      <c r="M12" s="64"/>
      <c r="N12" s="29"/>
      <c r="O12" s="69"/>
    </row>
    <row r="13" spans="1:15" ht="39.75" customHeight="1">
      <c r="A13" s="24">
        <v>8</v>
      </c>
      <c r="B13" s="34"/>
      <c r="C13" s="36"/>
      <c r="D13" s="27"/>
      <c r="E13" s="58"/>
      <c r="F13" s="74"/>
      <c r="G13" s="74"/>
      <c r="H13" s="74"/>
      <c r="I13" s="42"/>
      <c r="J13" s="42"/>
      <c r="K13" s="65"/>
      <c r="L13" s="65"/>
      <c r="M13" s="65"/>
      <c r="N13" s="27"/>
      <c r="O13" s="70"/>
    </row>
    <row r="14" spans="1:15" ht="39.75" customHeight="1">
      <c r="A14" s="24">
        <v>9</v>
      </c>
      <c r="B14" s="34"/>
      <c r="C14" s="37"/>
      <c r="D14" s="30"/>
      <c r="E14" s="59"/>
      <c r="F14" s="75"/>
      <c r="G14" s="75"/>
      <c r="H14" s="75"/>
      <c r="I14" s="45"/>
      <c r="J14" s="45"/>
      <c r="K14" s="66"/>
      <c r="L14" s="66"/>
      <c r="M14" s="66"/>
      <c r="N14" s="30"/>
      <c r="O14" s="66"/>
    </row>
    <row r="15" spans="1:15" ht="39.75" customHeight="1">
      <c r="A15" s="24">
        <v>10</v>
      </c>
      <c r="B15" s="34"/>
      <c r="C15" s="37"/>
      <c r="D15" s="30"/>
      <c r="E15" s="59"/>
      <c r="F15" s="75"/>
      <c r="G15" s="75"/>
      <c r="H15" s="75"/>
      <c r="I15" s="45"/>
      <c r="J15" s="45"/>
      <c r="K15" s="66"/>
      <c r="L15" s="66"/>
      <c r="M15" s="66"/>
      <c r="N15" s="30"/>
      <c r="O15" s="66"/>
    </row>
    <row r="16" spans="1:15" ht="39.75" customHeight="1">
      <c r="A16" s="24">
        <v>11</v>
      </c>
      <c r="B16" s="34"/>
      <c r="C16" s="37"/>
      <c r="D16" s="30"/>
      <c r="E16" s="59"/>
      <c r="F16" s="75"/>
      <c r="G16" s="75"/>
      <c r="H16" s="75"/>
      <c r="I16" s="45"/>
      <c r="J16" s="45"/>
      <c r="K16" s="66"/>
      <c r="L16" s="66"/>
      <c r="M16" s="66"/>
      <c r="N16" s="30"/>
      <c r="O16" s="66"/>
    </row>
    <row r="17" spans="1:15" ht="39.75" customHeight="1" thickBot="1">
      <c r="A17" s="25" t="s">
        <v>276</v>
      </c>
      <c r="B17" s="35"/>
      <c r="C17" s="38"/>
      <c r="D17" s="31"/>
      <c r="E17" s="60"/>
      <c r="F17" s="76"/>
      <c r="G17" s="76"/>
      <c r="H17" s="76"/>
      <c r="I17" s="46"/>
      <c r="J17" s="46"/>
      <c r="K17" s="66"/>
      <c r="L17" s="66"/>
      <c r="M17" s="66"/>
      <c r="N17" s="30"/>
      <c r="O17" s="66"/>
    </row>
    <row r="18" spans="1:15" ht="15.75" hidden="1" customHeight="1" thickBot="1"/>
    <row r="19" spans="1:15" ht="15.75" hidden="1" customHeight="1" thickBot="1"/>
  </sheetData>
  <mergeCells count="16">
    <mergeCell ref="K2:O2"/>
    <mergeCell ref="O3:O5"/>
    <mergeCell ref="K3:K5"/>
    <mergeCell ref="M3:M5"/>
    <mergeCell ref="N3:N5"/>
    <mergeCell ref="L3:L5"/>
    <mergeCell ref="C2:J2"/>
    <mergeCell ref="J3:J5"/>
    <mergeCell ref="A3:A5"/>
    <mergeCell ref="B3:B5"/>
    <mergeCell ref="C3:C5"/>
    <mergeCell ref="D3:D5"/>
    <mergeCell ref="E3:E5"/>
    <mergeCell ref="G3:G5"/>
    <mergeCell ref="H3:H5"/>
    <mergeCell ref="I3:I5"/>
  </mergeCells>
  <pageMargins left="0.7" right="0.7" top="0.75" bottom="0.75" header="0.3" footer="0.3"/>
  <pageSetup paperSize="9"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0FF88-B6FB-44E9-8285-31C42DDCA028}">
  <dimension ref="A2:R32"/>
  <sheetViews>
    <sheetView topLeftCell="F4" workbookViewId="0">
      <selection activeCell="R4" sqref="R4"/>
    </sheetView>
  </sheetViews>
  <sheetFormatPr defaultRowHeight="14.4"/>
  <cols>
    <col min="2" max="2" width="11" customWidth="1"/>
    <col min="9" max="9" width="21.5546875" customWidth="1"/>
    <col min="16" max="16" width="61.88671875" customWidth="1"/>
    <col min="17" max="17" width="57.33203125" customWidth="1"/>
  </cols>
  <sheetData>
    <row r="2" spans="1:18">
      <c r="B2" t="s">
        <v>277</v>
      </c>
      <c r="C2" t="s">
        <v>278</v>
      </c>
    </row>
    <row r="3" spans="1:18">
      <c r="B3" t="s">
        <v>279</v>
      </c>
      <c r="C3" t="s">
        <v>280</v>
      </c>
    </row>
    <row r="4" spans="1:18">
      <c r="B4" s="12" t="s">
        <v>281</v>
      </c>
      <c r="C4" s="110">
        <v>2021</v>
      </c>
      <c r="D4" t="s">
        <v>79</v>
      </c>
      <c r="F4" t="s">
        <v>244</v>
      </c>
      <c r="I4" t="s">
        <v>282</v>
      </c>
      <c r="L4" t="s">
        <v>100</v>
      </c>
      <c r="N4" t="s">
        <v>116</v>
      </c>
      <c r="P4" t="s">
        <v>283</v>
      </c>
      <c r="Q4" t="s">
        <v>284</v>
      </c>
      <c r="R4" t="str">
        <f>Q4&amp;" "&amp;"("&amp;P4&amp;")"</f>
        <v>Podmiot publiczny - odbiorca energii - przemysł (Public entity - energy consumer - industry)</v>
      </c>
    </row>
    <row r="5" spans="1:18">
      <c r="A5" s="14"/>
      <c r="B5" s="17" t="s">
        <v>285</v>
      </c>
      <c r="C5" s="110">
        <v>2022</v>
      </c>
      <c r="D5" t="s">
        <v>197</v>
      </c>
      <c r="F5" t="s">
        <v>124</v>
      </c>
      <c r="I5" t="s">
        <v>286</v>
      </c>
      <c r="L5" t="s">
        <v>108</v>
      </c>
      <c r="N5" t="s">
        <v>287</v>
      </c>
      <c r="P5" t="s">
        <v>288</v>
      </c>
      <c r="Q5" t="s">
        <v>289</v>
      </c>
      <c r="R5" t="str">
        <f t="shared" ref="R5:R28" si="0">Q5&amp;" "&amp;"("&amp;P5&amp;")"</f>
        <v>Podmiot publiczny - odbiorca energii - usługi (Public entity - energy consumer - services)</v>
      </c>
    </row>
    <row r="6" spans="1:18">
      <c r="A6" s="14"/>
      <c r="B6" s="17" t="s">
        <v>290</v>
      </c>
      <c r="C6" s="110">
        <v>2023</v>
      </c>
      <c r="F6" t="s">
        <v>82</v>
      </c>
      <c r="I6" t="s">
        <v>291</v>
      </c>
      <c r="L6" t="s">
        <v>83</v>
      </c>
      <c r="N6" t="s">
        <v>292</v>
      </c>
      <c r="P6" t="s">
        <v>293</v>
      </c>
      <c r="Q6" t="s">
        <v>294</v>
      </c>
      <c r="R6" t="str">
        <f t="shared" si="0"/>
        <v>Podmiot publiczny - odbiorca energii - budynki (Public entity - energy consumer - buildings)</v>
      </c>
    </row>
    <row r="7" spans="1:18">
      <c r="A7" s="14"/>
      <c r="B7" s="17" t="s">
        <v>295</v>
      </c>
      <c r="C7" s="110">
        <v>2024</v>
      </c>
      <c r="F7" t="s">
        <v>296</v>
      </c>
      <c r="I7" t="s">
        <v>81</v>
      </c>
      <c r="L7" t="s">
        <v>169</v>
      </c>
      <c r="N7" t="s">
        <v>223</v>
      </c>
      <c r="P7" t="s">
        <v>297</v>
      </c>
      <c r="Q7" t="s">
        <v>298</v>
      </c>
      <c r="R7" t="str">
        <f t="shared" si="0"/>
        <v>Podmiot publiczny - odbiorca energii - inne (Public entity - energy consumer - other)</v>
      </c>
    </row>
    <row r="8" spans="1:18">
      <c r="A8" s="14"/>
      <c r="B8" s="17" t="s">
        <v>299</v>
      </c>
      <c r="C8" s="110">
        <v>2025</v>
      </c>
      <c r="F8" t="s">
        <v>300</v>
      </c>
      <c r="L8" t="s">
        <v>301</v>
      </c>
      <c r="N8" t="s">
        <v>84</v>
      </c>
      <c r="P8" t="s">
        <v>302</v>
      </c>
      <c r="Q8" t="s">
        <v>303</v>
      </c>
      <c r="R8" t="str">
        <f t="shared" si="0"/>
        <v>Podmiot publiczny - producent energii (Public entity - energy producer)</v>
      </c>
    </row>
    <row r="9" spans="1:18">
      <c r="A9" s="14"/>
      <c r="B9" s="17" t="s">
        <v>304</v>
      </c>
      <c r="C9" s="110">
        <v>2026</v>
      </c>
      <c r="F9" t="s">
        <v>305</v>
      </c>
      <c r="L9" t="s">
        <v>306</v>
      </c>
      <c r="N9" t="s">
        <v>307</v>
      </c>
      <c r="P9" t="s">
        <v>308</v>
      </c>
      <c r="Q9" t="s">
        <v>309</v>
      </c>
      <c r="R9" t="str">
        <f t="shared" si="0"/>
        <v>Podmiot publiczny - dystrybucja i sieci (Public entity - distribution and networks)</v>
      </c>
    </row>
    <row r="10" spans="1:18">
      <c r="A10" s="14"/>
      <c r="B10" s="17" t="s">
        <v>310</v>
      </c>
      <c r="C10" s="110">
        <v>2027</v>
      </c>
      <c r="L10" t="s">
        <v>115</v>
      </c>
      <c r="N10" t="s">
        <v>311</v>
      </c>
      <c r="P10" t="s">
        <v>312</v>
      </c>
      <c r="Q10" t="s">
        <v>313</v>
      </c>
      <c r="R10" t="str">
        <f t="shared" si="0"/>
        <v>Podmiot prywatny - odbiorca energii - przemysł (Private entity - energy consumer - industry)</v>
      </c>
    </row>
    <row r="11" spans="1:18">
      <c r="A11" s="14"/>
      <c r="B11" s="17" t="s">
        <v>314</v>
      </c>
      <c r="C11" s="110">
        <v>2028</v>
      </c>
      <c r="L11" t="s">
        <v>311</v>
      </c>
      <c r="P11" t="s">
        <v>315</v>
      </c>
      <c r="Q11" t="s">
        <v>316</v>
      </c>
      <c r="R11" t="str">
        <f t="shared" si="0"/>
        <v>Podmiot prywatny - odbiorca energii - usługi (Private entity - energy consumer - services)</v>
      </c>
    </row>
    <row r="12" spans="1:18">
      <c r="A12" s="14"/>
      <c r="B12" s="17" t="s">
        <v>317</v>
      </c>
      <c r="C12" s="110">
        <v>2029</v>
      </c>
      <c r="F12" s="127" t="s">
        <v>318</v>
      </c>
      <c r="P12" t="s">
        <v>319</v>
      </c>
      <c r="Q12" t="s">
        <v>320</v>
      </c>
      <c r="R12" t="str">
        <f t="shared" si="0"/>
        <v>Podmiot prywatny - odbiorca energii - budynki (Private entity - energy consumer - buildings)</v>
      </c>
    </row>
    <row r="13" spans="1:18">
      <c r="A13" s="14"/>
      <c r="B13" s="17" t="s">
        <v>24</v>
      </c>
      <c r="C13" s="110">
        <v>2030</v>
      </c>
      <c r="F13" t="s">
        <v>321</v>
      </c>
      <c r="P13" t="s">
        <v>322</v>
      </c>
      <c r="Q13" t="s">
        <v>323</v>
      </c>
      <c r="R13" t="str">
        <f t="shared" si="0"/>
        <v>Podmiot prywatny - odbiorca energii - inne (Private entity - energy consumer - other)</v>
      </c>
    </row>
    <row r="14" spans="1:18">
      <c r="A14" s="14"/>
      <c r="B14" s="17" t="s">
        <v>324</v>
      </c>
      <c r="C14" s="110"/>
      <c r="F14" t="s">
        <v>325</v>
      </c>
      <c r="P14" t="s">
        <v>326</v>
      </c>
      <c r="Q14" t="s">
        <v>327</v>
      </c>
      <c r="R14" t="str">
        <f t="shared" si="0"/>
        <v>Podmiot prywatny - producent energii (Private entity - energy producer)</v>
      </c>
    </row>
    <row r="15" spans="1:18">
      <c r="A15" s="14"/>
      <c r="B15" s="17" t="s">
        <v>328</v>
      </c>
      <c r="C15" s="110"/>
      <c r="F15" t="s">
        <v>329</v>
      </c>
      <c r="I15" s="14"/>
      <c r="J15" s="15"/>
      <c r="K15" s="15"/>
      <c r="L15" s="15"/>
      <c r="M15" s="15"/>
      <c r="N15" s="15"/>
      <c r="O15" s="16"/>
      <c r="P15" t="s">
        <v>330</v>
      </c>
      <c r="Q15" t="s">
        <v>331</v>
      </c>
      <c r="R15" t="str">
        <f t="shared" si="0"/>
        <v>Podmiot prywatny - dystrybucja i sieci (Private entity - distribution and networks)</v>
      </c>
    </row>
    <row r="16" spans="1:18">
      <c r="A16" s="14"/>
      <c r="B16" s="17" t="s">
        <v>332</v>
      </c>
      <c r="C16" s="110"/>
      <c r="F16" t="s">
        <v>333</v>
      </c>
      <c r="I16" s="14"/>
      <c r="J16" s="15"/>
      <c r="K16" s="15"/>
      <c r="L16" s="15"/>
      <c r="M16" s="15"/>
      <c r="N16" s="15"/>
      <c r="O16" s="16"/>
      <c r="P16" t="s">
        <v>334</v>
      </c>
      <c r="Q16" t="s">
        <v>335</v>
      </c>
      <c r="R16" t="str">
        <f t="shared" si="0"/>
        <v>Partnerstwa publiczno-prywatne - odbiorca energii - przemysł (Public-private partnerships - energy consumer - industry)</v>
      </c>
    </row>
    <row r="17" spans="1:18">
      <c r="A17" s="14"/>
      <c r="B17" s="17" t="s">
        <v>336</v>
      </c>
      <c r="C17" s="110"/>
      <c r="F17" t="s">
        <v>337</v>
      </c>
      <c r="I17" s="14"/>
      <c r="J17" s="15"/>
      <c r="K17" s="15"/>
      <c r="L17" s="15"/>
      <c r="M17" s="15"/>
      <c r="N17" s="15"/>
      <c r="O17" s="16"/>
      <c r="P17" t="s">
        <v>338</v>
      </c>
      <c r="Q17" t="s">
        <v>339</v>
      </c>
      <c r="R17" t="str">
        <f t="shared" si="0"/>
        <v>Partnerstwa publiczno-prywatne - odbiorca energii - budynki lub budynki mieszkalne (Public-private partnerships - energy consumer - buildings or residential)</v>
      </c>
    </row>
    <row r="18" spans="1:18">
      <c r="I18" s="14"/>
      <c r="J18" s="15"/>
      <c r="K18" s="15"/>
      <c r="L18" s="15"/>
      <c r="M18" s="15"/>
      <c r="N18" s="15"/>
      <c r="O18" s="16"/>
      <c r="P18" t="s">
        <v>340</v>
      </c>
      <c r="Q18" t="s">
        <v>341</v>
      </c>
      <c r="R18" t="str">
        <f t="shared" si="0"/>
        <v>Partnerstwa publiczno-prywatne - odbiorca energii - usługi (Public-private partnerships - energy consumer - services)</v>
      </c>
    </row>
    <row r="19" spans="1:18">
      <c r="I19" s="14"/>
      <c r="J19" s="15"/>
      <c r="K19" s="15"/>
      <c r="L19" s="15"/>
      <c r="M19" s="15"/>
      <c r="N19" s="15"/>
      <c r="O19" s="16"/>
      <c r="P19" t="s">
        <v>342</v>
      </c>
      <c r="Q19" t="s">
        <v>343</v>
      </c>
      <c r="R19" t="str">
        <f t="shared" si="0"/>
        <v>Partnerstwa publiczno-prywatne - odbiorca energii - inne (Public-private partnerships - energy consumer - other)</v>
      </c>
    </row>
    <row r="20" spans="1:18">
      <c r="I20" s="14"/>
      <c r="J20" s="15"/>
      <c r="K20" s="15"/>
      <c r="L20" s="15"/>
      <c r="M20" s="15"/>
      <c r="N20" s="15"/>
      <c r="O20" s="16"/>
      <c r="P20" t="s">
        <v>344</v>
      </c>
      <c r="Q20" t="s">
        <v>345</v>
      </c>
      <c r="R20" t="str">
        <f t="shared" si="0"/>
        <v>Partnerstwa publiczno-prywatne - producent energii (Public-private partnerships - energy producer)</v>
      </c>
    </row>
    <row r="21" spans="1:18">
      <c r="I21" s="14"/>
      <c r="J21" s="15"/>
      <c r="K21" s="15"/>
      <c r="L21" s="15"/>
      <c r="M21" s="15"/>
      <c r="N21" s="15"/>
      <c r="O21" s="16"/>
      <c r="P21" t="s">
        <v>346</v>
      </c>
      <c r="Q21" t="s">
        <v>347</v>
      </c>
      <c r="R21" t="str">
        <f t="shared" si="0"/>
        <v>Partnerstwa publiczno-prywatne - dystrybucja i sieci (Public-private partnerships - distribution and networks)</v>
      </c>
    </row>
    <row r="22" spans="1:18">
      <c r="I22" s="14"/>
      <c r="J22" s="15"/>
      <c r="K22" s="15"/>
      <c r="L22" s="15"/>
      <c r="M22" s="15"/>
      <c r="N22" s="15"/>
      <c r="O22" s="16"/>
      <c r="P22" t="s">
        <v>348</v>
      </c>
      <c r="Q22" t="s">
        <v>349</v>
      </c>
      <c r="R22" t="str">
        <f t="shared" si="0"/>
        <v>Podmioty mieszane lub publiczno-prywatne - odbiorcy energii - przemysł (Mix or public and private entities - energy consumers - industry)</v>
      </c>
    </row>
    <row r="23" spans="1:18">
      <c r="I23" s="14"/>
      <c r="J23" s="15"/>
      <c r="K23" s="15"/>
      <c r="L23" s="15"/>
      <c r="M23" s="15"/>
      <c r="N23" s="15"/>
      <c r="O23" s="16"/>
      <c r="P23" t="s">
        <v>350</v>
      </c>
      <c r="Q23" t="s">
        <v>351</v>
      </c>
      <c r="R23" t="str">
        <f t="shared" si="0"/>
        <v>Podmioty mieszane lub publiczno-prywatne - odbiorcy energii - usługi (Mix or public and private entities - energy consumers - services)</v>
      </c>
    </row>
    <row r="24" spans="1:18">
      <c r="I24" s="14"/>
      <c r="J24" s="15"/>
      <c r="K24" s="15"/>
      <c r="L24" s="15"/>
      <c r="M24" s="15"/>
      <c r="N24" s="15"/>
      <c r="O24" s="16"/>
      <c r="P24" t="s">
        <v>352</v>
      </c>
      <c r="Q24" t="s">
        <v>353</v>
      </c>
      <c r="R24" t="str">
        <f t="shared" si="0"/>
        <v>Podmioty mieszane lub publiczno-prywatne - odbiorcy energii - budynki (Mix or public and private entities - energy consumers - buildings)</v>
      </c>
    </row>
    <row r="25" spans="1:18">
      <c r="I25" s="14"/>
      <c r="J25" s="15"/>
      <c r="K25" s="15"/>
      <c r="L25" s="15"/>
      <c r="M25" s="15"/>
      <c r="N25" s="15"/>
      <c r="O25" s="16"/>
      <c r="P25" t="s">
        <v>354</v>
      </c>
      <c r="Q25" t="s">
        <v>355</v>
      </c>
      <c r="R25" t="str">
        <f t="shared" si="0"/>
        <v>Podmioty mieszane lub Podmioty publiczne i prywatne – odbiorcy energii – inne (Mix or public and private entities - energy consumers - other)</v>
      </c>
    </row>
    <row r="26" spans="1:18">
      <c r="I26" s="14"/>
      <c r="J26" s="15"/>
      <c r="K26" s="15"/>
      <c r="L26" s="15"/>
      <c r="M26" s="15"/>
      <c r="N26" s="15"/>
      <c r="O26" s="16"/>
      <c r="P26" t="s">
        <v>356</v>
      </c>
      <c r="Q26" t="s">
        <v>357</v>
      </c>
      <c r="R26" t="str">
        <f t="shared" si="0"/>
        <v>Podmioty mieszane – producenci energii (Mix or public and private entities - energy producers)</v>
      </c>
    </row>
    <row r="27" spans="1:18">
      <c r="I27" s="14"/>
      <c r="J27" s="15"/>
      <c r="K27" s="15"/>
      <c r="L27" s="15"/>
      <c r="M27" s="15"/>
      <c r="N27" s="15"/>
      <c r="O27" s="16"/>
      <c r="P27" t="s">
        <v>358</v>
      </c>
      <c r="Q27" t="s">
        <v>359</v>
      </c>
      <c r="R27" t="str">
        <f t="shared" si="0"/>
        <v>Podmioty mieszane – dystrybucja i sieci (Mix or public and private entities - distribution and networks)</v>
      </c>
    </row>
    <row r="28" spans="1:18">
      <c r="I28" s="14"/>
      <c r="J28" s="15"/>
      <c r="K28" s="15"/>
      <c r="L28" s="15"/>
      <c r="M28" s="15"/>
      <c r="N28" s="15"/>
      <c r="O28" s="16"/>
      <c r="P28" t="s">
        <v>311</v>
      </c>
      <c r="Q28" t="s">
        <v>360</v>
      </c>
      <c r="R28" t="str">
        <f t="shared" si="0"/>
        <v>Inne (Other)</v>
      </c>
    </row>
    <row r="29" spans="1:18">
      <c r="I29" s="14"/>
      <c r="J29" s="15"/>
      <c r="K29" s="15"/>
      <c r="L29" s="15"/>
      <c r="M29" s="15"/>
      <c r="N29" s="15"/>
      <c r="O29" s="16"/>
    </row>
    <row r="30" spans="1:18">
      <c r="I30" s="14"/>
      <c r="J30" s="15"/>
      <c r="K30" s="15"/>
      <c r="L30" s="15"/>
      <c r="M30" s="15"/>
      <c r="N30" s="15"/>
      <c r="O30" s="16"/>
    </row>
    <row r="31" spans="1:18">
      <c r="I31" s="14"/>
      <c r="J31" s="15"/>
      <c r="K31" s="15"/>
      <c r="L31" s="15"/>
      <c r="M31" s="15"/>
      <c r="N31" s="15"/>
      <c r="O31" s="16"/>
    </row>
    <row r="32" spans="1:18">
      <c r="I32" s="14"/>
    </row>
  </sheetData>
  <phoneticPr fontId="16" type="noConversion"/>
  <dataValidations count="1">
    <dataValidation type="list" allowBlank="1" showInputMessage="1" showErrorMessage="1" sqref="B4" xr:uid="{9B02B2BC-CA52-47AA-8345-717362EDA896}">
      <formula1>$B$4:$B$17</formula1>
    </dataValidation>
  </dataValidations>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067d800-f990-4259-bd12-836cc090826c" xsi:nil="true"/>
    <lcf76f155ced4ddcb4097134ff3c332f xmlns="73b36413-d5ac-40a8-a9ab-0be156c6fdc5">
      <Terms xmlns="http://schemas.microsoft.com/office/infopath/2007/PartnerControls"/>
    </lcf76f155ced4ddcb4097134ff3c332f>
    <MediaLengthInSeconds xmlns="73b36413-d5ac-40a8-a9ab-0be156c6fdc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36E1EF849427594D97E5959D53C1EF44" ma:contentTypeVersion="16" ma:contentTypeDescription="Utwórz nowy dokument." ma:contentTypeScope="" ma:versionID="cda0d8937031fdd422351d99620314ae">
  <xsd:schema xmlns:xsd="http://www.w3.org/2001/XMLSchema" xmlns:xs="http://www.w3.org/2001/XMLSchema" xmlns:p="http://schemas.microsoft.com/office/2006/metadata/properties" xmlns:ns2="73b36413-d5ac-40a8-a9ab-0be156c6fdc5" xmlns:ns3="c067d800-f990-4259-bd12-836cc090826c" targetNamespace="http://schemas.microsoft.com/office/2006/metadata/properties" ma:root="true" ma:fieldsID="38335020b8c4fc2d1d5a400be7b60ef2" ns2:_="" ns3:_="">
    <xsd:import namespace="73b36413-d5ac-40a8-a9ab-0be156c6fdc5"/>
    <xsd:import namespace="c067d800-f990-4259-bd12-836cc090826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b36413-d5ac-40a8-a9ab-0be156c6fd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Tagi obrazów" ma:readOnly="false" ma:fieldId="{5cf76f15-5ced-4ddc-b409-7134ff3c332f}" ma:taxonomyMulti="true" ma:sspId="739d19e1-0593-4d94-bef1-3da08a5e7cc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067d800-f990-4259-bd12-836cc090826c" elementFormDefault="qualified">
    <xsd:import namespace="http://schemas.microsoft.com/office/2006/documentManagement/types"/>
    <xsd:import namespace="http://schemas.microsoft.com/office/infopath/2007/PartnerControls"/>
    <xsd:element name="SharedWithUsers" ma:index="10"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Udostępnione dla — szczegóły" ma:internalName="SharedWithDetails" ma:readOnly="true">
      <xsd:simpleType>
        <xsd:restriction base="dms:Note">
          <xsd:maxLength value="255"/>
        </xsd:restriction>
      </xsd:simpleType>
    </xsd:element>
    <xsd:element name="TaxCatchAll" ma:index="22" nillable="true" ma:displayName="Taxonomy Catch All Column" ma:hidden="true" ma:list="{8111650c-12d2-4024-92f7-a1336b774e1c}" ma:internalName="TaxCatchAll" ma:showField="CatchAllData" ma:web="c067d800-f990-4259-bd12-836cc090826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0E01F4-5DFF-4500-800F-F577EFA5000F}">
  <ds:schemaRefs>
    <ds:schemaRef ds:uri="http://schemas.microsoft.com/office/2006/metadata/properties"/>
    <ds:schemaRef ds:uri="http://schemas.microsoft.com/office/infopath/2007/PartnerControls"/>
    <ds:schemaRef ds:uri="8e70c616-2388-4b2b-acbc-3fc015cadcd4"/>
    <ds:schemaRef ds:uri="5f6e308b-c1fa-409d-8633-4b8824628b6a"/>
  </ds:schemaRefs>
</ds:datastoreItem>
</file>

<file path=customXml/itemProps2.xml><?xml version="1.0" encoding="utf-8"?>
<ds:datastoreItem xmlns:ds="http://schemas.openxmlformats.org/officeDocument/2006/customXml" ds:itemID="{BF1D399C-3F1E-4DDE-B47D-2F726C6597AB}">
  <ds:schemaRefs>
    <ds:schemaRef ds:uri="http://schemas.microsoft.com/sharepoint/v3/contenttype/forms"/>
  </ds:schemaRefs>
</ds:datastoreItem>
</file>

<file path=customXml/itemProps3.xml><?xml version="1.0" encoding="utf-8"?>
<ds:datastoreItem xmlns:ds="http://schemas.openxmlformats.org/officeDocument/2006/customXml" ds:itemID="{FB807521-6BB2-45C4-B30F-A95178F3A4A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Introduction</vt:lpstr>
      <vt:lpstr>Annual Report</vt:lpstr>
      <vt:lpstr>Overview Planned Investments</vt:lpstr>
      <vt:lpstr>Dropdown Menu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Jakub</dc:creator>
  <cp:keywords/>
  <dc:description/>
  <cp:lastModifiedBy>Matysiak Katarzyna</cp:lastModifiedBy>
  <cp:revision/>
  <dcterms:created xsi:type="dcterms:W3CDTF">2022-04-08T06:50:01Z</dcterms:created>
  <dcterms:modified xsi:type="dcterms:W3CDTF">2026-04-20T08:23:22Z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2023-07-26T10:02:37Z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86dcd4de-2c5d-4c35-b72d-b24875a03717</vt:lpwstr>
  </property>
  <property fmtid="{D5CDD505-2E9C-101B-9397-08002B2CF9AE}" pid="8" name="MSIP_Label_6bd9ddd1-4d20-43f6-abfa-fc3c07406f94_ContentBits">
    <vt:lpwstr>0</vt:lpwstr>
  </property>
  <property fmtid="{D5CDD505-2E9C-101B-9397-08002B2CF9AE}" pid="9" name="ContentTypeId">
    <vt:lpwstr>0x01010036E1EF849427594D97E5959D53C1EF44</vt:lpwstr>
  </property>
  <property fmtid="{D5CDD505-2E9C-101B-9397-08002B2CF9AE}" pid="10" name="MediaServiceImageTags">
    <vt:lpwstr/>
  </property>
  <property fmtid="{D5CDD505-2E9C-101B-9397-08002B2CF9AE}" pid="11" name="Order">
    <vt:r8>5145500</vt:r8>
  </property>
  <property fmtid="{D5CDD505-2E9C-101B-9397-08002B2CF9AE}" pid="12" name="xd_Signature">
    <vt:bool>false</vt:bool>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ies>
</file>