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'doch_wyd'!$A$1:$M$104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<sst xmlns="http://schemas.openxmlformats.org/spreadsheetml/2006/main" count="247" uniqueCount="105">
  <si>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</si>
  <si>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</si>
  <si>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</si>
  <si>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</si>
  <si>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</si>
  <si>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</si>
  <si>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</si>
  <si>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</si>
  <si>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</si>
  <si>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</si>
  <si>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</si>
  <si>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</si>
  <si>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</si>
  <si>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</si>
  <si>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</si>
  <si>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</si>
  <si>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</si>
  <si>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</si>
  <si>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</si>
  <si>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</si>
  <si>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</si>
  <si>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</si>
  <si>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</si>
  <si>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</si>
  <si>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</si>
  <si>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</si>
  <si>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</si>
  <si>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</si>
  <si>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</si>
  <si>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</si>
  <si>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</si>
  <si>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</si>
  <si>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</si>
  <si>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</si>
  <si>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</si>
  <si>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</si>
  <si>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</si>
  <si>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</si>
  <si>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</si>
  <si>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</si>
  <si>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</si>
  <si>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</si>
  <si>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</si>
  <si>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</si>
  <si>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</si>
  <si>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</si>
  <si>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</si>
  <si>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</si>
  <si>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</si>
  <si>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</si>
  <si>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</si>
  <si>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</si>
  <si>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</si>
  <si>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</si>
  <si>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</si>
  <si>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</si>
  <si>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</si>
  <si>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</si>
  <si>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</si>
  <si>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</si>
  <si>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</si>
  <si>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</si>
  <si>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</si>
  <si>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</si>
  <si>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</si>
  <si>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</si>
  <si>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</si>
  <si>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</si>
  <si>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</si>
  <si>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</si>
  <si>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z tego:</t>
  </si>
  <si>
    <t>świadczenia na rzecz osób fizycznych</t>
  </si>
  <si>
    <r>
      <t xml:space="preserve">Dotacje </t>
    </r>
    <r>
      <rPr>
        <b/>
        <sz val="10"/>
        <color indexed="8"/>
        <rFont val="Arial"/>
        <family val="0"/>
      </rPr>
      <t>§§ 200 i 620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</si>
  <si>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620</t>
    </r>
  </si>
  <si>
    <t>UE</t>
  </si>
  <si>
    <t>WYDATKI OGÓŁEM UE
z tego:</t>
  </si>
  <si>
    <t>majątkowe</t>
  </si>
  <si>
    <t>bieżące</t>
  </si>
  <si>
    <t>wydatki majątkowe</t>
  </si>
  <si>
    <t>wydatki bieżące</t>
  </si>
  <si>
    <t>Dochody bieżące 
minus 
wydatki bieżące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</si>
  <si>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</si>
  <si>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</si>
  <si>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</si>
  <si>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</si>
  <si>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</si>
  <si>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</si>
  <si>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</si>
  <si>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</si>
  <si>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</si>
  <si>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r>
      <t xml:space="preserve">Dotacje </t>
    </r>
    <r>
      <rPr>
        <b/>
        <sz val="10"/>
        <color indexed="8"/>
        <rFont val="Arial"/>
        <family val="0"/>
      </rPr>
      <t>§§ 205 i 625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</si>
  <si>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625</t>
    </r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</si>
  <si>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</si>
  <si>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</si>
  <si>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</si>
  <si>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</si>
  <si>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</si>
  <si>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</si>
  <si>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 , o których mowa w art. 217 ust.2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</si>
  <si>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</si>
  <si>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</si>
  <si>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</si>
  <si>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>wydatki na wynagrodzenia i pochodne od wynagrodzeń</t>
  </si>
  <si>
    <t>Informacja z wykonania budżetów jednostek samorządu terytorialnego za IV Kwartały 2020 roku</t>
  </si>
  <si>
    <t>niewykorzystane środki pieniężne o których mowa w art.217 ust.2 pkt.8 ustawy o finansach publicznych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</si>
</sst>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1" applyNumberFormat="0" applyAlignment="0" applyProtection="0"/>
    <xf numFmtId="0" fontId="21" fillId="41" borderId="2" applyNumberFormat="0" applyAlignment="0" applyProtection="0"/>
    <xf numFmtId="0" fontId="51" fillId="42" borderId="3" applyNumberFormat="0" applyAlignment="0" applyProtection="0"/>
    <xf numFmtId="0" fontId="52" fillId="43" borderId="4" applyNumberFormat="0" applyAlignment="0" applyProtection="0"/>
    <xf numFmtId="0" fontId="5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5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6" borderId="1" applyNumberFormat="0" applyAlignment="0" applyProtection="0"/>
    <xf numFmtId="0" fontId="54" fillId="0" borderId="8" applyNumberFormat="0" applyFill="0" applyAlignment="0" applyProtection="0"/>
    <xf numFmtId="0" fontId="55" fillId="46" borderId="9" applyNumberFormat="0" applyAlignment="0" applyProtection="0"/>
    <xf numFmtId="0" fontId="28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59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0" borderId="0">
      <alignment/>
      <protection/>
    </xf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61" fillId="43" borderId="3" applyNumberFormat="0" applyAlignment="0" applyProtection="0"/>
    <xf numFmtId="0" fontId="2" fillId="0" borderId="0" applyNumberFormat="0" applyFill="0" applyBorder="0" applyAlignment="0" applyProtection="0"/>
    <xf numFmtId="0" fontId="30" fillId="40" borderId="15" applyNumberFormat="0" applyAlignment="0" applyProtection="0"/>
    <xf numFmtId="9" fontId="0" fillId="0" borderId="0" applyFont="0" applyFill="0" applyBorder="0" applyAlignment="0" applyProtection="0"/>
    <xf numFmtId="0" fontId="62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6" fillId="49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7" fillId="0" borderId="19" xfId="0" applyFont="1" applyFill="1" applyBorder="1" applyAlignment="1">
      <alignment horizontal="left" vertical="center" wrapText="1" indent="1"/>
    </xf>
    <xf numFmtId="164" fontId="14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7" fillId="5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1" fillId="40" borderId="19" xfId="0" applyFont="1" applyFill="1" applyBorder="1" applyAlignment="1">
      <alignment horizontal="left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164" fontId="12" fillId="40" borderId="19" xfId="72" applyNumberFormat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4" fontId="12" fillId="40" borderId="20" xfId="0" applyNumberFormat="1" applyFont="1" applyFill="1" applyBorder="1" applyAlignment="1">
      <alignment horizontal="right" vertical="center"/>
    </xf>
    <xf numFmtId="4" fontId="12" fillId="40" borderId="21" xfId="0" applyNumberFormat="1" applyFont="1" applyFill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40" borderId="21" xfId="0" applyNumberFormat="1" applyFont="1" applyFill="1" applyBorder="1" applyAlignment="1">
      <alignment horizontal="right" vertical="center"/>
    </xf>
    <xf numFmtId="4" fontId="7" fillId="50" borderId="21" xfId="0" applyNumberFormat="1" applyFont="1" applyFill="1" applyBorder="1" applyAlignment="1">
      <alignment horizontal="right" vertical="center"/>
    </xf>
    <xf numFmtId="0" fontId="67" fillId="0" borderId="19" xfId="91" applyFont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right" vertical="center"/>
    </xf>
    <xf numFmtId="4" fontId="7" fillId="51" borderId="21" xfId="0" applyNumberFormat="1" applyFont="1" applyFill="1" applyBorder="1" applyAlignment="1">
      <alignment horizontal="right" vertical="center"/>
    </xf>
    <xf numFmtId="4" fontId="7" fillId="51" borderId="20" xfId="0" applyNumberFormat="1" applyFont="1" applyFill="1" applyBorder="1" applyAlignment="1">
      <alignment horizontal="right" vertical="center"/>
    </xf>
    <xf numFmtId="4" fontId="12" fillId="52" borderId="20" xfId="0" applyNumberFormat="1" applyFont="1" applyFill="1" applyBorder="1" applyAlignment="1">
      <alignment horizontal="right" vertical="center"/>
    </xf>
    <xf numFmtId="4" fontId="12" fillId="52" borderId="21" xfId="0" applyNumberFormat="1" applyFont="1" applyFill="1" applyBorder="1" applyAlignment="1">
      <alignment horizontal="right" vertical="center"/>
    </xf>
    <xf numFmtId="0" fontId="67" fillId="52" borderId="19" xfId="91" applyFont="1" applyFill="1" applyBorder="1" applyAlignment="1">
      <alignment horizontal="left" vertical="center" wrapText="1"/>
      <protection/>
    </xf>
    <xf numFmtId="164" fontId="12" fillId="51" borderId="19" xfId="72" applyNumberFormat="1" applyFont="1" applyFill="1" applyBorder="1" applyAlignment="1">
      <alignment horizontal="right" vertical="center"/>
    </xf>
    <xf numFmtId="164" fontId="12" fillId="51" borderId="19" xfId="0" applyNumberFormat="1" applyFont="1" applyFill="1" applyBorder="1" applyAlignment="1">
      <alignment horizontal="right" vertical="center"/>
    </xf>
    <xf numFmtId="164" fontId="12" fillId="52" borderId="19" xfId="0" applyNumberFormat="1" applyFont="1" applyFill="1" applyBorder="1" applyAlignment="1">
      <alignment horizontal="right" vertical="center"/>
    </xf>
    <xf numFmtId="0" fontId="11" fillId="40" borderId="19" xfId="0" applyFont="1" applyFill="1" applyBorder="1" applyAlignment="1">
      <alignment horizontal="center" vertical="center" wrapText="1"/>
    </xf>
    <xf numFmtId="4" fontId="12" fillId="40" borderId="19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/>
    </xf>
    <xf numFmtId="0" fontId="8" fillId="52" borderId="19" xfId="0" applyFont="1" applyFill="1" applyBorder="1" applyAlignment="1">
      <alignment horizontal="left" vertical="center" wrapText="1"/>
    </xf>
    <xf numFmtId="4" fontId="14" fillId="52" borderId="19" xfId="0" applyNumberFormat="1" applyFont="1" applyFill="1" applyBorder="1" applyAlignment="1">
      <alignment horizontal="right" vertical="center"/>
    </xf>
    <xf numFmtId="164" fontId="14" fillId="52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4" fontId="5" fillId="52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1" fillId="52" borderId="19" xfId="0" applyFont="1" applyFill="1" applyBorder="1" applyAlignment="1">
      <alignment horizontal="left" vertical="center" wrapText="1"/>
    </xf>
    <xf numFmtId="4" fontId="12" fillId="52" borderId="19" xfId="0" applyNumberFormat="1" applyFont="1" applyFill="1" applyBorder="1" applyAlignment="1">
      <alignment horizontal="right" vertical="center"/>
    </xf>
    <xf numFmtId="164" fontId="7" fillId="52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164" fontId="12" fillId="0" borderId="19" xfId="0" applyNumberFormat="1" applyFont="1" applyFill="1" applyBorder="1" applyAlignment="1">
      <alignment horizontal="right" vertical="center"/>
    </xf>
    <xf numFmtId="0" fontId="11" fillId="52" borderId="23" xfId="0" applyFont="1" applyFill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164" fontId="12" fillId="0" borderId="19" xfId="72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4" fontId="12" fillId="40" borderId="20" xfId="0" applyNumberFormat="1" applyFont="1" applyFill="1" applyBorder="1" applyAlignment="1">
      <alignment vertical="center" wrapText="1"/>
    </xf>
    <xf numFmtId="4" fontId="12" fillId="40" borderId="21" xfId="0" applyNumberFormat="1" applyFont="1" applyFill="1" applyBorder="1" applyAlignment="1">
      <alignment vertical="center" wrapText="1"/>
    </xf>
    <xf numFmtId="4" fontId="5" fillId="0" borderId="19" xfId="0" applyNumberFormat="1" applyFont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/>
    </xf>
    <xf numFmtId="4" fontId="12" fillId="52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14" fillId="29" borderId="19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Dziesiętny 3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rmalny 2" xfId="90"/>
    <cellStyle name="Normalny 2 2" xfId="91"/>
    <cellStyle name="Note" xfId="92"/>
    <cellStyle name="Note 2" xfId="93"/>
    <cellStyle name="Obliczenia" xfId="94"/>
    <cellStyle name="Followed Hyperlink" xfId="95"/>
    <cellStyle name="Output" xfId="96"/>
    <cellStyle name="Percent" xfId="97"/>
    <cellStyle name="Suma" xfId="98"/>
    <cellStyle name="Tekst objaśnienia" xfId="99"/>
    <cellStyle name="Tekst ostrzeżenia" xfId="100"/>
    <cellStyle name="Title" xfId="101"/>
    <cellStyle name="Total" xfId="102"/>
    <cellStyle name="Tytuł" xfId="103"/>
    <cellStyle name="Uwaga" xfId="104"/>
    <cellStyle name="Currency" xfId="105"/>
    <cellStyle name="Currency [0]" xfId="106"/>
    <cellStyle name="Warning Text" xfId="107"/>
    <cellStyle name="Zły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03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0.37109375" style="1" customWidth="1"/>
    <col min="2" max="2" width="22.875" style="1" customWidth="1"/>
    <col min="3" max="5" width="14.625" style="1" customWidth="1"/>
    <col min="6" max="6" width="13.875" style="1" customWidth="1"/>
    <col min="7" max="8" width="13.00390625" style="1" customWidth="1"/>
    <col min="9" max="9" width="12.00390625" style="1" customWidth="1"/>
    <col min="10" max="10" width="13.00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45.75" customHeight="1">
      <c r="B1" s="96" t="s">
        <v>103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ht="12.75"/>
    <row r="3" spans="2:13" ht="66.75" customHeight="1">
      <c r="B3" s="92" t="s">
        <v>0</v>
      </c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5" t="s">
        <v>44</v>
      </c>
      <c r="K3" s="17" t="s">
        <v>2</v>
      </c>
      <c r="L3" s="15" t="s">
        <v>18</v>
      </c>
      <c r="M3" s="15" t="s">
        <v>3</v>
      </c>
    </row>
    <row r="4" spans="2:13" ht="12.75">
      <c r="B4" s="92"/>
      <c r="C4" s="93" t="s">
        <v>81</v>
      </c>
      <c r="D4" s="93"/>
      <c r="E4" s="93"/>
      <c r="F4" s="93"/>
      <c r="G4" s="93"/>
      <c r="H4" s="93"/>
      <c r="I4" s="93"/>
      <c r="J4" s="93"/>
      <c r="K4" s="93" t="s">
        <v>4</v>
      </c>
      <c r="L4" s="93"/>
      <c r="M4" s="93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25.5" customHeight="1">
      <c r="B6" s="68" t="s">
        <v>5</v>
      </c>
      <c r="C6" s="69">
        <f>303742793678.49</f>
        <v>303742793678.49</v>
      </c>
      <c r="D6" s="69">
        <f>304930106493.07</f>
        <v>304930106493.07</v>
      </c>
      <c r="E6" s="69">
        <f>304871222091.14</f>
        <v>304871222091.14</v>
      </c>
      <c r="F6" s="69">
        <f>3218809606.18</f>
        <v>3218809606.18</v>
      </c>
      <c r="G6" s="69">
        <f>867056348.73</f>
        <v>867056348.73</v>
      </c>
      <c r="H6" s="69">
        <f>168325604.06</f>
        <v>168325604.06</v>
      </c>
      <c r="I6" s="69">
        <f>200400849.84</f>
        <v>200400849.84</v>
      </c>
      <c r="J6" s="69">
        <f>10724142.64</f>
        <v>10724142.64</v>
      </c>
      <c r="K6" s="70">
        <f aca="true" t="shared" si="0" ref="K6:K46">IF($D$6=0,"",100*$D6/$D$6)</f>
        <v>100</v>
      </c>
      <c r="L6" s="70">
        <f aca="true" t="shared" si="1" ref="L6:L50">IF(C6=0,"",100*D6/C6)</f>
        <v>100.39089415100224</v>
      </c>
      <c r="M6" s="70"/>
    </row>
    <row r="7" spans="2:13" ht="38.25" customHeight="1">
      <c r="B7" s="20" t="s">
        <v>62</v>
      </c>
      <c r="C7" s="25">
        <f>C6-C22-C40</f>
        <v>140916258357.51996</v>
      </c>
      <c r="D7" s="25">
        <f>D6-D22-D40</f>
        <v>146356483982.79</v>
      </c>
      <c r="E7" s="25">
        <f>E6-E22-E40</f>
        <v>146218789833.73004</v>
      </c>
      <c r="F7" s="25">
        <f>F6</f>
        <v>3218809606.18</v>
      </c>
      <c r="G7" s="25">
        <f>G6</f>
        <v>867056348.73</v>
      </c>
      <c r="H7" s="25">
        <f>H6</f>
        <v>168325604.06</v>
      </c>
      <c r="I7" s="25">
        <f>I6</f>
        <v>200400849.84</v>
      </c>
      <c r="J7" s="25">
        <f>J6</f>
        <v>10724142.64</v>
      </c>
      <c r="K7" s="31">
        <f t="shared" si="0"/>
        <v>47.99673133820788</v>
      </c>
      <c r="L7" s="31">
        <f t="shared" si="1"/>
        <v>103.8606089096317</v>
      </c>
      <c r="M7" s="31">
        <f aca="true" t="shared" si="2" ref="M7:M21">IF($D$7=0,"",100*$D7/$D$7)</f>
        <v>100</v>
      </c>
    </row>
    <row r="8" spans="2:13" ht="32.25" customHeight="1">
      <c r="B8" s="21" t="s">
        <v>35</v>
      </c>
      <c r="C8" s="23">
        <f>10314792628.2</f>
        <v>10314792628.2</v>
      </c>
      <c r="D8" s="23">
        <f>11325482541.27</f>
        <v>11325482541.27</v>
      </c>
      <c r="E8" s="23">
        <f>11395039837.55</f>
        <v>11395039837.55</v>
      </c>
      <c r="F8" s="23">
        <f>0</f>
        <v>0</v>
      </c>
      <c r="G8" s="23">
        <f>0</f>
        <v>0</v>
      </c>
      <c r="H8" s="23">
        <f>0</f>
        <v>0</v>
      </c>
      <c r="I8" s="23">
        <f>0</f>
        <v>0</v>
      </c>
      <c r="J8" s="24">
        <f>0</f>
        <v>0</v>
      </c>
      <c r="K8" s="32">
        <f t="shared" si="0"/>
        <v>3.7141240894583127</v>
      </c>
      <c r="L8" s="32">
        <f t="shared" si="1"/>
        <v>109.79845111288846</v>
      </c>
      <c r="M8" s="32">
        <f t="shared" si="2"/>
        <v>7.738285474664559</v>
      </c>
    </row>
    <row r="9" spans="2:13" ht="32.25" customHeight="1">
      <c r="B9" s="21" t="s">
        <v>19</v>
      </c>
      <c r="C9" s="23">
        <f>54896696154.35</f>
        <v>54896696154.35</v>
      </c>
      <c r="D9" s="23">
        <f>55077614588</f>
        <v>55077614588</v>
      </c>
      <c r="E9" s="23">
        <f>54512902126.17</f>
        <v>54512902126.17</v>
      </c>
      <c r="F9" s="23">
        <f>0</f>
        <v>0</v>
      </c>
      <c r="G9" s="23">
        <f>0</f>
        <v>0</v>
      </c>
      <c r="H9" s="23">
        <f>0</f>
        <v>0</v>
      </c>
      <c r="I9" s="23">
        <f>0</f>
        <v>0</v>
      </c>
      <c r="J9" s="24">
        <f>0</f>
        <v>0</v>
      </c>
      <c r="K9" s="32">
        <f t="shared" si="0"/>
        <v>18.062373447290852</v>
      </c>
      <c r="L9" s="32">
        <f t="shared" si="1"/>
        <v>100.32956160629654</v>
      </c>
      <c r="M9" s="32">
        <f t="shared" si="2"/>
        <v>37.63250734724985</v>
      </c>
    </row>
    <row r="10" spans="2:13" ht="32.25" customHeight="1">
      <c r="B10" s="21" t="s">
        <v>20</v>
      </c>
      <c r="C10" s="23">
        <f>1641216826.03</f>
        <v>1641216826.03</v>
      </c>
      <c r="D10" s="23">
        <f>1619205712.62</f>
        <v>1619205712.62</v>
      </c>
      <c r="E10" s="23">
        <f>1618500811.46</f>
        <v>1618500811.46</v>
      </c>
      <c r="F10" s="23">
        <f>154398238.44</f>
        <v>154398238.44</v>
      </c>
      <c r="G10" s="23">
        <f>1443111.99</f>
        <v>1443111.99</v>
      </c>
      <c r="H10" s="23">
        <f>3609370.03</f>
        <v>3609370.03</v>
      </c>
      <c r="I10" s="23">
        <f>1100657.38</f>
        <v>1100657.38</v>
      </c>
      <c r="J10" s="24">
        <f>3404.78</f>
        <v>3404.78</v>
      </c>
      <c r="K10" s="32">
        <f t="shared" si="0"/>
        <v>0.5310088043591716</v>
      </c>
      <c r="L10" s="32">
        <f t="shared" si="1"/>
        <v>98.65885402459324</v>
      </c>
      <c r="M10" s="32">
        <f t="shared" si="2"/>
        <v>1.1063436812341034</v>
      </c>
    </row>
    <row r="11" spans="2:13" ht="32.25" customHeight="1">
      <c r="B11" s="21" t="s">
        <v>21</v>
      </c>
      <c r="C11" s="23">
        <f>24094816123.5</f>
        <v>24094816123.5</v>
      </c>
      <c r="D11" s="23">
        <f>24215878170.01</f>
        <v>24215878170.01</v>
      </c>
      <c r="E11" s="23">
        <f>24214632839.71</f>
        <v>24214632839.71</v>
      </c>
      <c r="F11" s="23">
        <f>2034312464.06</f>
        <v>2034312464.06</v>
      </c>
      <c r="G11" s="23">
        <f>840715481.48</f>
        <v>840715481.48</v>
      </c>
      <c r="H11" s="23">
        <f>140205180.64</f>
        <v>140205180.64</v>
      </c>
      <c r="I11" s="23">
        <f>167553142.2</f>
        <v>167553142.2</v>
      </c>
      <c r="J11" s="24">
        <f>8292430.57</f>
        <v>8292430.57</v>
      </c>
      <c r="K11" s="32">
        <f t="shared" si="0"/>
        <v>7.941452042407739</v>
      </c>
      <c r="L11" s="32">
        <f t="shared" si="1"/>
        <v>100.50244021738737</v>
      </c>
      <c r="M11" s="32">
        <f t="shared" si="2"/>
        <v>16.54581847761356</v>
      </c>
    </row>
    <row r="12" spans="2:13" ht="32.25" customHeight="1">
      <c r="B12" s="21" t="s">
        <v>22</v>
      </c>
      <c r="C12" s="23">
        <f>302971228.11</f>
        <v>302971228.11</v>
      </c>
      <c r="D12" s="23">
        <f>301294029.91</f>
        <v>301294029.91</v>
      </c>
      <c r="E12" s="23">
        <f>301223911.34</f>
        <v>301223911.34</v>
      </c>
      <c r="F12" s="23">
        <f>1077693.26</f>
        <v>1077693.26</v>
      </c>
      <c r="G12" s="23">
        <f>538563.67</f>
        <v>538563.67</v>
      </c>
      <c r="H12" s="23">
        <f>143619.88</f>
        <v>143619.88</v>
      </c>
      <c r="I12" s="23">
        <f>16048.06</f>
        <v>16048.06</v>
      </c>
      <c r="J12" s="24">
        <f>120.32</f>
        <v>120.32</v>
      </c>
      <c r="K12" s="32">
        <f t="shared" si="0"/>
        <v>0.0988075704872544</v>
      </c>
      <c r="L12" s="32">
        <f t="shared" si="1"/>
        <v>99.44641667446024</v>
      </c>
      <c r="M12" s="32">
        <f t="shared" si="2"/>
        <v>0.2058631238677673</v>
      </c>
    </row>
    <row r="13" spans="2:13" ht="32.25" customHeight="1">
      <c r="B13" s="21" t="s">
        <v>23</v>
      </c>
      <c r="C13" s="23">
        <f>1174094914.69</f>
        <v>1174094914.69</v>
      </c>
      <c r="D13" s="23">
        <f>1168726641.57</f>
        <v>1168726641.57</v>
      </c>
      <c r="E13" s="23">
        <f>1168749430.05</f>
        <v>1168749430.05</v>
      </c>
      <c r="F13" s="23">
        <f>1021752027.11</f>
        <v>1021752027.11</v>
      </c>
      <c r="G13" s="23">
        <f>2768770.73</f>
        <v>2768770.73</v>
      </c>
      <c r="H13" s="23">
        <f>9634311.72</f>
        <v>9634311.72</v>
      </c>
      <c r="I13" s="23">
        <f>4002141.44</f>
        <v>4002141.44</v>
      </c>
      <c r="J13" s="24">
        <f>435677.58</f>
        <v>435677.58</v>
      </c>
      <c r="K13" s="32">
        <f t="shared" si="0"/>
        <v>0.38327689417462</v>
      </c>
      <c r="L13" s="32">
        <f t="shared" si="1"/>
        <v>99.54277349702878</v>
      </c>
      <c r="M13" s="32">
        <f t="shared" si="2"/>
        <v>0.7985479083437328</v>
      </c>
    </row>
    <row r="14" spans="2:13" ht="43.5" customHeight="1">
      <c r="B14" s="21" t="s">
        <v>46</v>
      </c>
      <c r="C14" s="23">
        <f>64320962.61</f>
        <v>64320962.61</v>
      </c>
      <c r="D14" s="23">
        <f>66362377.14</f>
        <v>66362377.14</v>
      </c>
      <c r="E14" s="23">
        <f>66775280.41</f>
        <v>66775280.41</v>
      </c>
      <c r="F14" s="23">
        <f>0</f>
        <v>0</v>
      </c>
      <c r="G14" s="23">
        <f>0</f>
        <v>0</v>
      </c>
      <c r="H14" s="23">
        <f>65920.88</f>
        <v>65920.88</v>
      </c>
      <c r="I14" s="23">
        <f>486304.32</f>
        <v>486304.32</v>
      </c>
      <c r="J14" s="24">
        <f>0</f>
        <v>0</v>
      </c>
      <c r="K14" s="32">
        <f t="shared" si="0"/>
        <v>0.021763143660433602</v>
      </c>
      <c r="L14" s="32">
        <f t="shared" si="1"/>
        <v>103.17379349929477</v>
      </c>
      <c r="M14" s="32">
        <f t="shared" si="2"/>
        <v>0.04534297035162687</v>
      </c>
    </row>
    <row r="15" spans="2:13" ht="32.25" customHeight="1">
      <c r="B15" s="21" t="s">
        <v>28</v>
      </c>
      <c r="C15" s="23">
        <f>270364484.89</f>
        <v>270364484.89</v>
      </c>
      <c r="D15" s="23">
        <f>304501354.6</f>
        <v>304501354.6</v>
      </c>
      <c r="E15" s="23">
        <f>304724500.12</f>
        <v>304724500.12</v>
      </c>
      <c r="F15" s="23">
        <f>0</f>
        <v>0</v>
      </c>
      <c r="G15" s="23">
        <f>0</f>
        <v>0</v>
      </c>
      <c r="H15" s="23">
        <f>3665281.05</f>
        <v>3665281.05</v>
      </c>
      <c r="I15" s="23">
        <f>9912973.26</f>
        <v>9912973.26</v>
      </c>
      <c r="J15" s="24">
        <f>0</f>
        <v>0</v>
      </c>
      <c r="K15" s="32">
        <f t="shared" si="0"/>
        <v>0.09985939338755331</v>
      </c>
      <c r="L15" s="32">
        <f t="shared" si="1"/>
        <v>112.62624035989376</v>
      </c>
      <c r="M15" s="32">
        <f t="shared" si="2"/>
        <v>0.20805457080795015</v>
      </c>
    </row>
    <row r="16" spans="2:13" ht="32.25" customHeight="1">
      <c r="B16" s="21" t="s">
        <v>29</v>
      </c>
      <c r="C16" s="23">
        <f>2621063360.13</f>
        <v>2621063360.13</v>
      </c>
      <c r="D16" s="23">
        <f>3004833950.08</f>
        <v>3004833950.08</v>
      </c>
      <c r="E16" s="23">
        <f>3004681560.99</f>
        <v>3004681560.99</v>
      </c>
      <c r="F16" s="23">
        <f>0</f>
        <v>0</v>
      </c>
      <c r="G16" s="23">
        <f>0</f>
        <v>0</v>
      </c>
      <c r="H16" s="23">
        <f>95015.15</f>
        <v>95015.15</v>
      </c>
      <c r="I16" s="23">
        <f>613251.77</f>
        <v>613251.77</v>
      </c>
      <c r="J16" s="24">
        <f>0</f>
        <v>0</v>
      </c>
      <c r="K16" s="32">
        <f t="shared" si="0"/>
        <v>0.9854172763187912</v>
      </c>
      <c r="L16" s="32">
        <f t="shared" si="1"/>
        <v>114.64178988526876</v>
      </c>
      <c r="M16" s="32">
        <f t="shared" si="2"/>
        <v>2.0530924686830665</v>
      </c>
    </row>
    <row r="17" spans="2:13" ht="32.25" customHeight="1">
      <c r="B17" s="21" t="s">
        <v>30</v>
      </c>
      <c r="C17" s="23">
        <f>475023164.14</f>
        <v>475023164.14</v>
      </c>
      <c r="D17" s="23">
        <f>485551019.61</f>
        <v>485551019.61</v>
      </c>
      <c r="E17" s="23">
        <f>485537745.41</f>
        <v>485537745.41</v>
      </c>
      <c r="F17" s="23">
        <f>0</f>
        <v>0</v>
      </c>
      <c r="G17" s="23">
        <f>0</f>
        <v>0</v>
      </c>
      <c r="H17" s="23">
        <f>7539</f>
        <v>7539</v>
      </c>
      <c r="I17" s="23">
        <f>9859</f>
        <v>9859</v>
      </c>
      <c r="J17" s="24">
        <f>0</f>
        <v>0</v>
      </c>
      <c r="K17" s="32">
        <f t="shared" si="0"/>
        <v>0.15923354541609844</v>
      </c>
      <c r="L17" s="32">
        <f t="shared" si="1"/>
        <v>102.2162825446755</v>
      </c>
      <c r="M17" s="32">
        <f t="shared" si="2"/>
        <v>0.3317591447927211</v>
      </c>
    </row>
    <row r="18" spans="2:13" ht="32.25" customHeight="1">
      <c r="B18" s="21" t="s">
        <v>31</v>
      </c>
      <c r="C18" s="23">
        <f>431352217.6</f>
        <v>431352217.6</v>
      </c>
      <c r="D18" s="23">
        <f>420918027.63</f>
        <v>420918027.63</v>
      </c>
      <c r="E18" s="23">
        <f>420875420.4</f>
        <v>420875420.4</v>
      </c>
      <c r="F18" s="23">
        <f>0</f>
        <v>0</v>
      </c>
      <c r="G18" s="23">
        <f>0</f>
        <v>0</v>
      </c>
      <c r="H18" s="23">
        <f>113442.48</f>
        <v>113442.48</v>
      </c>
      <c r="I18" s="23">
        <f>411826.75</f>
        <v>411826.75</v>
      </c>
      <c r="J18" s="24">
        <f>0</f>
        <v>0</v>
      </c>
      <c r="K18" s="32">
        <f t="shared" si="0"/>
        <v>0.1380375432491334</v>
      </c>
      <c r="L18" s="32">
        <f t="shared" si="1"/>
        <v>97.58105104268276</v>
      </c>
      <c r="M18" s="32">
        <f t="shared" si="2"/>
        <v>0.2875977996844305</v>
      </c>
    </row>
    <row r="19" spans="2:13" ht="32.25" customHeight="1">
      <c r="B19" s="21" t="s">
        <v>32</v>
      </c>
      <c r="C19" s="23">
        <f>129916434.92</f>
        <v>129916434.92</v>
      </c>
      <c r="D19" s="23">
        <f>115376125.49</f>
        <v>115376125.49</v>
      </c>
      <c r="E19" s="23">
        <f>115289223.27</f>
        <v>115289223.27</v>
      </c>
      <c r="F19" s="23">
        <f>2374316.98</f>
        <v>2374316.98</v>
      </c>
      <c r="G19" s="23">
        <f>81055.44</f>
        <v>81055.44</v>
      </c>
      <c r="H19" s="23">
        <f>3730</f>
        <v>3730</v>
      </c>
      <c r="I19" s="23">
        <f>93095.19</f>
        <v>93095.19</v>
      </c>
      <c r="J19" s="24">
        <f>0</f>
        <v>0</v>
      </c>
      <c r="K19" s="32">
        <f t="shared" si="0"/>
        <v>0.037836908535176766</v>
      </c>
      <c r="L19" s="32">
        <f t="shared" si="1"/>
        <v>88.80795225103456</v>
      </c>
      <c r="M19" s="32">
        <f t="shared" si="2"/>
        <v>0.07883226103161034</v>
      </c>
    </row>
    <row r="20" spans="2:13" ht="32.25" customHeight="1">
      <c r="B20" s="21" t="s">
        <v>24</v>
      </c>
      <c r="C20" s="23">
        <f>8323817436.69</f>
        <v>8323817436.69</v>
      </c>
      <c r="D20" s="23">
        <f>8023387655.84</f>
        <v>8023387655.84</v>
      </c>
      <c r="E20" s="23">
        <f>8021183701.25</f>
        <v>8021183701.25</v>
      </c>
      <c r="F20" s="23">
        <f>0</f>
        <v>0</v>
      </c>
      <c r="G20" s="23">
        <f>73605.65</f>
        <v>73605.65</v>
      </c>
      <c r="H20" s="23">
        <f>0</f>
        <v>0</v>
      </c>
      <c r="I20" s="23">
        <f>133624.4</f>
        <v>133624.4</v>
      </c>
      <c r="J20" s="24">
        <f>0</f>
        <v>0</v>
      </c>
      <c r="K20" s="32">
        <f t="shared" si="0"/>
        <v>2.6312218718299447</v>
      </c>
      <c r="L20" s="32">
        <f t="shared" si="1"/>
        <v>96.39072116688006</v>
      </c>
      <c r="M20" s="32">
        <f t="shared" si="2"/>
        <v>5.482085547220079</v>
      </c>
    </row>
    <row r="21" spans="2:13" ht="32.25" customHeight="1">
      <c r="B21" s="21" t="s">
        <v>25</v>
      </c>
      <c r="C21" s="23">
        <f>C7-C8-C9-C10-C11-C12-C13-C14-C15-C16-C17-C18-C19-C20</f>
        <v>36175812421.65997</v>
      </c>
      <c r="D21" s="23">
        <f aca="true" t="shared" si="3" ref="D21:J21">D7-D8-D9-D10-D11-D12-D13-D14-D15-D16-D17-D18-D19-D20</f>
        <v>40227351789.02002</v>
      </c>
      <c r="E21" s="23">
        <f t="shared" si="3"/>
        <v>40588673445.60003</v>
      </c>
      <c r="F21" s="23">
        <f t="shared" si="3"/>
        <v>4894866.329999823</v>
      </c>
      <c r="G21" s="23">
        <f t="shared" si="3"/>
        <v>21435759.76999999</v>
      </c>
      <c r="H21" s="23">
        <f t="shared" si="3"/>
        <v>10782193.230000013</v>
      </c>
      <c r="I21" s="23">
        <f t="shared" si="3"/>
        <v>16067926.070000023</v>
      </c>
      <c r="J21" s="24">
        <f t="shared" si="3"/>
        <v>1992509.390000001</v>
      </c>
      <c r="K21" s="32">
        <f t="shared" si="0"/>
        <v>13.192318807632807</v>
      </c>
      <c r="L21" s="32">
        <f t="shared" si="1"/>
        <v>111.1995808694934</v>
      </c>
      <c r="M21" s="32">
        <f t="shared" si="2"/>
        <v>27.48586922445495</v>
      </c>
    </row>
    <row r="22" spans="2:13" ht="36.75" customHeight="1">
      <c r="B22" s="68" t="s">
        <v>70</v>
      </c>
      <c r="C22" s="69">
        <f>C23+C36+C38</f>
        <v>95821257799.36002</v>
      </c>
      <c r="D22" s="69">
        <f>D23+D36+D38</f>
        <v>91544208075.44002</v>
      </c>
      <c r="E22" s="69">
        <f>E23+E36+E38</f>
        <v>91765601971.26999</v>
      </c>
      <c r="F22" s="72" t="s">
        <v>61</v>
      </c>
      <c r="G22" s="72" t="s">
        <v>61</v>
      </c>
      <c r="H22" s="72" t="s">
        <v>61</v>
      </c>
      <c r="I22" s="72" t="s">
        <v>61</v>
      </c>
      <c r="J22" s="72" t="s">
        <v>61</v>
      </c>
      <c r="K22" s="70">
        <f t="shared" si="0"/>
        <v>30.021374120210233</v>
      </c>
      <c r="L22" s="70">
        <f t="shared" si="1"/>
        <v>95.53642915763461</v>
      </c>
      <c r="M22" s="73"/>
    </row>
    <row r="23" spans="2:13" ht="36.75" customHeight="1">
      <c r="B23" s="68" t="s">
        <v>63</v>
      </c>
      <c r="C23" s="69">
        <f>C24+C26+C28+C30+C32+C34</f>
        <v>74180375868.99</v>
      </c>
      <c r="D23" s="69">
        <f>D24+D26+D28+D30+D32+D34</f>
        <v>73078024665.33002</v>
      </c>
      <c r="E23" s="69">
        <f>E24+E26+E28+E30+E32+E34</f>
        <v>73191537950.54999</v>
      </c>
      <c r="F23" s="72" t="s">
        <v>61</v>
      </c>
      <c r="G23" s="72" t="s">
        <v>61</v>
      </c>
      <c r="H23" s="72" t="s">
        <v>61</v>
      </c>
      <c r="I23" s="72" t="s">
        <v>61</v>
      </c>
      <c r="J23" s="72" t="s">
        <v>61</v>
      </c>
      <c r="K23" s="70">
        <f t="shared" si="0"/>
        <v>23.96549999794488</v>
      </c>
      <c r="L23" s="70">
        <f t="shared" si="1"/>
        <v>98.513958454987</v>
      </c>
      <c r="M23" s="73"/>
    </row>
    <row r="24" spans="2:13" ht="33.75" customHeight="1">
      <c r="B24" s="71" t="s">
        <v>9</v>
      </c>
      <c r="C24" s="24">
        <f>64169006865.11</f>
        <v>64169006865.11</v>
      </c>
      <c r="D24" s="24">
        <f>63582263264.01</f>
        <v>63582263264.01</v>
      </c>
      <c r="E24" s="24">
        <f>63633851403.39</f>
        <v>63633851403.39</v>
      </c>
      <c r="F24" s="24" t="s">
        <v>61</v>
      </c>
      <c r="G24" s="24" t="s">
        <v>61</v>
      </c>
      <c r="H24" s="24" t="s">
        <v>61</v>
      </c>
      <c r="I24" s="24" t="s">
        <v>61</v>
      </c>
      <c r="J24" s="24" t="s">
        <v>61</v>
      </c>
      <c r="K24" s="32">
        <f t="shared" si="0"/>
        <v>20.851421984944277</v>
      </c>
      <c r="L24" s="32">
        <f t="shared" si="1"/>
        <v>99.08562773562414</v>
      </c>
      <c r="M24" s="28"/>
    </row>
    <row r="25" spans="2:13" ht="21" customHeight="1">
      <c r="B25" s="74" t="s">
        <v>6</v>
      </c>
      <c r="C25" s="24">
        <f>372989174.27</f>
        <v>372989174.27</v>
      </c>
      <c r="D25" s="24">
        <f>265665046.93</f>
        <v>265665046.93</v>
      </c>
      <c r="E25" s="24">
        <f>266537458.72</f>
        <v>266537458.72</v>
      </c>
      <c r="F25" s="24" t="s">
        <v>61</v>
      </c>
      <c r="G25" s="24" t="s">
        <v>61</v>
      </c>
      <c r="H25" s="24" t="s">
        <v>61</v>
      </c>
      <c r="I25" s="24" t="s">
        <v>61</v>
      </c>
      <c r="J25" s="24" t="s">
        <v>61</v>
      </c>
      <c r="K25" s="32">
        <f t="shared" si="0"/>
        <v>0.08712325915776298</v>
      </c>
      <c r="L25" s="32">
        <f t="shared" si="1"/>
        <v>71.22594039088384</v>
      </c>
      <c r="M25" s="28"/>
    </row>
    <row r="26" spans="2:13" ht="33.75" customHeight="1">
      <c r="B26" s="71" t="s">
        <v>7</v>
      </c>
      <c r="C26" s="24">
        <f>6429303128.64</f>
        <v>6429303128.64</v>
      </c>
      <c r="D26" s="24">
        <f>6152377903.57</f>
        <v>6152377903.57</v>
      </c>
      <c r="E26" s="24">
        <f>6191668040.9</f>
        <v>6191668040.9</v>
      </c>
      <c r="F26" s="24" t="s">
        <v>61</v>
      </c>
      <c r="G26" s="24" t="s">
        <v>61</v>
      </c>
      <c r="H26" s="24" t="s">
        <v>61</v>
      </c>
      <c r="I26" s="24" t="s">
        <v>61</v>
      </c>
      <c r="J26" s="24" t="s">
        <v>61</v>
      </c>
      <c r="K26" s="32">
        <f t="shared" si="0"/>
        <v>2.0176354425370007</v>
      </c>
      <c r="L26" s="32">
        <f t="shared" si="1"/>
        <v>95.69276452627645</v>
      </c>
      <c r="M26" s="28"/>
    </row>
    <row r="27" spans="2:13" ht="21" customHeight="1">
      <c r="B27" s="74" t="s">
        <v>6</v>
      </c>
      <c r="C27" s="24">
        <f>598589191.48</f>
        <v>598589191.48</v>
      </c>
      <c r="D27" s="24">
        <f>512370234.53</f>
        <v>512370234.53</v>
      </c>
      <c r="E27" s="24">
        <f>512112642.27</f>
        <v>512112642.27</v>
      </c>
      <c r="F27" s="24" t="s">
        <v>61</v>
      </c>
      <c r="G27" s="24" t="s">
        <v>61</v>
      </c>
      <c r="H27" s="24" t="s">
        <v>61</v>
      </c>
      <c r="I27" s="24" t="s">
        <v>61</v>
      </c>
      <c r="J27" s="24" t="s">
        <v>61</v>
      </c>
      <c r="K27" s="32">
        <f t="shared" si="0"/>
        <v>0.16802874613551627</v>
      </c>
      <c r="L27" s="32">
        <f t="shared" si="1"/>
        <v>85.59630575072273</v>
      </c>
      <c r="M27" s="28"/>
    </row>
    <row r="28" spans="2:13" ht="39.75" customHeight="1">
      <c r="B28" s="71" t="s">
        <v>10</v>
      </c>
      <c r="C28" s="24">
        <f>181076434.24</f>
        <v>181076434.24</v>
      </c>
      <c r="D28" s="24">
        <f>138752850.46</f>
        <v>138752850.46</v>
      </c>
      <c r="E28" s="24">
        <f>148727405.31</f>
        <v>148727405.31</v>
      </c>
      <c r="F28" s="24" t="s">
        <v>61</v>
      </c>
      <c r="G28" s="24" t="s">
        <v>61</v>
      </c>
      <c r="H28" s="24" t="s">
        <v>61</v>
      </c>
      <c r="I28" s="24" t="s">
        <v>61</v>
      </c>
      <c r="J28" s="24" t="s">
        <v>61</v>
      </c>
      <c r="K28" s="32">
        <f t="shared" si="0"/>
        <v>0.04550316531737852</v>
      </c>
      <c r="L28" s="32">
        <f t="shared" si="1"/>
        <v>76.62667483063863</v>
      </c>
      <c r="M28" s="28"/>
    </row>
    <row r="29" spans="2:13" ht="21" customHeight="1">
      <c r="B29" s="74" t="s">
        <v>6</v>
      </c>
      <c r="C29" s="24">
        <f>20528271.54</f>
        <v>20528271.54</v>
      </c>
      <c r="D29" s="24">
        <f>16978718.35</f>
        <v>16978718.35</v>
      </c>
      <c r="E29" s="24">
        <f>17128048.8</f>
        <v>17128048.8</v>
      </c>
      <c r="F29" s="24" t="s">
        <v>61</v>
      </c>
      <c r="G29" s="24" t="s">
        <v>61</v>
      </c>
      <c r="H29" s="24" t="s">
        <v>61</v>
      </c>
      <c r="I29" s="24" t="s">
        <v>61</v>
      </c>
      <c r="J29" s="24" t="s">
        <v>61</v>
      </c>
      <c r="K29" s="32">
        <f t="shared" si="0"/>
        <v>0.005568068874952454</v>
      </c>
      <c r="L29" s="32">
        <f t="shared" si="1"/>
        <v>82.70895246546414</v>
      </c>
      <c r="M29" s="28"/>
    </row>
    <row r="30" spans="2:13" ht="39.75" customHeight="1">
      <c r="B30" s="71" t="s">
        <v>11</v>
      </c>
      <c r="C30" s="24">
        <f>1453397117.28</f>
        <v>1453397117.28</v>
      </c>
      <c r="D30" s="24">
        <f>1373936757.97</f>
        <v>1373936757.97</v>
      </c>
      <c r="E30" s="24">
        <f>1379738950.12</f>
        <v>1379738950.12</v>
      </c>
      <c r="F30" s="24" t="s">
        <v>61</v>
      </c>
      <c r="G30" s="24" t="s">
        <v>61</v>
      </c>
      <c r="H30" s="24" t="s">
        <v>61</v>
      </c>
      <c r="I30" s="24" t="s">
        <v>61</v>
      </c>
      <c r="J30" s="24" t="s">
        <v>61</v>
      </c>
      <c r="K30" s="32">
        <f t="shared" si="0"/>
        <v>0.45057432136541914</v>
      </c>
      <c r="L30" s="32">
        <f t="shared" si="1"/>
        <v>94.53278402954946</v>
      </c>
      <c r="M30" s="28"/>
    </row>
    <row r="31" spans="2:13" ht="21" customHeight="1">
      <c r="B31" s="74" t="s">
        <v>6</v>
      </c>
      <c r="C31" s="24">
        <f>314034289.43</f>
        <v>314034289.43</v>
      </c>
      <c r="D31" s="24">
        <f>257252353.48</f>
        <v>257252353.48</v>
      </c>
      <c r="E31" s="24">
        <f>257772564.68</f>
        <v>257772564.68</v>
      </c>
      <c r="F31" s="24" t="s">
        <v>61</v>
      </c>
      <c r="G31" s="24" t="s">
        <v>61</v>
      </c>
      <c r="H31" s="24" t="s">
        <v>61</v>
      </c>
      <c r="I31" s="24" t="s">
        <v>61</v>
      </c>
      <c r="J31" s="24" t="s">
        <v>61</v>
      </c>
      <c r="K31" s="32">
        <f t="shared" si="0"/>
        <v>0.08436436678509684</v>
      </c>
      <c r="L31" s="32">
        <f t="shared" si="1"/>
        <v>81.91855543766758</v>
      </c>
      <c r="M31" s="28"/>
    </row>
    <row r="32" spans="2:13" ht="39.75" customHeight="1">
      <c r="B32" s="71" t="s">
        <v>82</v>
      </c>
      <c r="C32" s="24">
        <f>1300130709.56</f>
        <v>1300130709.56</v>
      </c>
      <c r="D32" s="24">
        <f>1209718606.19</f>
        <v>1209718606.19</v>
      </c>
      <c r="E32" s="24">
        <f>1214840001.17</f>
        <v>1214840001.17</v>
      </c>
      <c r="F32" s="24" t="s">
        <v>61</v>
      </c>
      <c r="G32" s="24" t="s">
        <v>61</v>
      </c>
      <c r="H32" s="24" t="s">
        <v>61</v>
      </c>
      <c r="I32" s="24" t="s">
        <v>61</v>
      </c>
      <c r="J32" s="24" t="s">
        <v>61</v>
      </c>
      <c r="K32" s="32">
        <f t="shared" si="0"/>
        <v>0.396719963175395</v>
      </c>
      <c r="L32" s="32">
        <f t="shared" si="1"/>
        <v>93.04592202113294</v>
      </c>
      <c r="M32" s="28"/>
    </row>
    <row r="33" spans="2:13" ht="24" customHeight="1">
      <c r="B33" s="74" t="s">
        <v>6</v>
      </c>
      <c r="C33" s="24">
        <f>1031196893.35</f>
        <v>1031196893.35</v>
      </c>
      <c r="D33" s="24">
        <f>957092969.85</f>
        <v>957092969.85</v>
      </c>
      <c r="E33" s="24">
        <f>960300195.96</f>
        <v>960300195.96</v>
      </c>
      <c r="F33" s="24" t="s">
        <v>61</v>
      </c>
      <c r="G33" s="24" t="s">
        <v>61</v>
      </c>
      <c r="H33" s="24" t="s">
        <v>61</v>
      </c>
      <c r="I33" s="24" t="s">
        <v>61</v>
      </c>
      <c r="J33" s="24" t="s">
        <v>61</v>
      </c>
      <c r="K33" s="32">
        <f t="shared" si="0"/>
        <v>0.3138729005336019</v>
      </c>
      <c r="L33" s="32">
        <f t="shared" si="1"/>
        <v>92.81379492336694</v>
      </c>
      <c r="M33" s="28"/>
    </row>
    <row r="34" spans="2:13" ht="22.5" customHeight="1">
      <c r="B34" s="71" t="s">
        <v>8</v>
      </c>
      <c r="C34" s="24">
        <f>647461614.16</f>
        <v>647461614.16</v>
      </c>
      <c r="D34" s="24">
        <f>620975283.13</f>
        <v>620975283.13</v>
      </c>
      <c r="E34" s="24">
        <f>622712149.66</f>
        <v>622712149.66</v>
      </c>
      <c r="F34" s="24" t="s">
        <v>61</v>
      </c>
      <c r="G34" s="24" t="s">
        <v>61</v>
      </c>
      <c r="H34" s="24" t="s">
        <v>61</v>
      </c>
      <c r="I34" s="24" t="s">
        <v>61</v>
      </c>
      <c r="J34" s="24" t="s">
        <v>61</v>
      </c>
      <c r="K34" s="32">
        <f t="shared" si="0"/>
        <v>0.20364512060540424</v>
      </c>
      <c r="L34" s="32">
        <f t="shared" si="1"/>
        <v>95.90920442992397</v>
      </c>
      <c r="M34" s="28"/>
    </row>
    <row r="35" spans="2:13" ht="21" customHeight="1">
      <c r="B35" s="74" t="s">
        <v>6</v>
      </c>
      <c r="C35" s="24">
        <f>520569818.43</f>
        <v>520569818.43</v>
      </c>
      <c r="D35" s="24">
        <f>502297418.28</f>
        <v>502297418.28</v>
      </c>
      <c r="E35" s="24">
        <f>502955140.81</f>
        <v>502955140.81</v>
      </c>
      <c r="F35" s="24" t="s">
        <v>61</v>
      </c>
      <c r="G35" s="24" t="s">
        <v>61</v>
      </c>
      <c r="H35" s="24" t="s">
        <v>61</v>
      </c>
      <c r="I35" s="24" t="s">
        <v>61</v>
      </c>
      <c r="J35" s="24" t="s">
        <v>61</v>
      </c>
      <c r="K35" s="32">
        <f t="shared" si="0"/>
        <v>0.16472542644503207</v>
      </c>
      <c r="L35" s="32">
        <f t="shared" si="1"/>
        <v>96.48992325273328</v>
      </c>
      <c r="M35" s="28"/>
    </row>
    <row r="36" spans="2:13" ht="25.5" customHeight="1">
      <c r="B36" s="68" t="s">
        <v>72</v>
      </c>
      <c r="C36" s="69">
        <f>3000257345.69</f>
        <v>3000257345.69</v>
      </c>
      <c r="D36" s="69">
        <f>2453101746.74</f>
        <v>2453101746.74</v>
      </c>
      <c r="E36" s="69">
        <f>2488929575.83</f>
        <v>2488929575.83</v>
      </c>
      <c r="F36" s="72" t="s">
        <v>61</v>
      </c>
      <c r="G36" s="72" t="s">
        <v>61</v>
      </c>
      <c r="H36" s="72" t="s">
        <v>61</v>
      </c>
      <c r="I36" s="72" t="s">
        <v>61</v>
      </c>
      <c r="J36" s="72" t="s">
        <v>61</v>
      </c>
      <c r="K36" s="70">
        <f t="shared" si="0"/>
        <v>0.8044800085345951</v>
      </c>
      <c r="L36" s="70">
        <f t="shared" si="1"/>
        <v>81.76304443563772</v>
      </c>
      <c r="M36" s="28"/>
    </row>
    <row r="37" spans="2:13" ht="19.5" customHeight="1">
      <c r="B37" s="29" t="s">
        <v>73</v>
      </c>
      <c r="C37" s="23">
        <f>1956127516.44</f>
        <v>1956127516.44</v>
      </c>
      <c r="D37" s="23">
        <f>1517333255.98</f>
        <v>1517333255.98</v>
      </c>
      <c r="E37" s="23">
        <f>1518902196.02</f>
        <v>1518902196.02</v>
      </c>
      <c r="F37" s="23" t="s">
        <v>61</v>
      </c>
      <c r="G37" s="23" t="s">
        <v>61</v>
      </c>
      <c r="H37" s="23" t="s">
        <v>61</v>
      </c>
      <c r="I37" s="23" t="s">
        <v>61</v>
      </c>
      <c r="J37" s="23" t="s">
        <v>61</v>
      </c>
      <c r="K37" s="32">
        <f t="shared" si="0"/>
        <v>0.49760034305254264</v>
      </c>
      <c r="L37" s="32">
        <f t="shared" si="1"/>
        <v>77.5682179831215</v>
      </c>
      <c r="M37" s="28"/>
    </row>
    <row r="38" spans="2:13" ht="25.5" customHeight="1">
      <c r="B38" s="68" t="s">
        <v>90</v>
      </c>
      <c r="C38" s="69">
        <f>18640624584.68</f>
        <v>18640624584.68</v>
      </c>
      <c r="D38" s="69">
        <f>16013081663.37</f>
        <v>16013081663.37</v>
      </c>
      <c r="E38" s="69">
        <f>16085134444.89</f>
        <v>16085134444.89</v>
      </c>
      <c r="F38" s="72" t="s">
        <v>61</v>
      </c>
      <c r="G38" s="72" t="s">
        <v>61</v>
      </c>
      <c r="H38" s="72" t="s">
        <v>61</v>
      </c>
      <c r="I38" s="72" t="s">
        <v>61</v>
      </c>
      <c r="J38" s="72" t="s">
        <v>61</v>
      </c>
      <c r="K38" s="70">
        <f t="shared" si="0"/>
        <v>5.251394113730755</v>
      </c>
      <c r="L38" s="70">
        <f t="shared" si="1"/>
        <v>85.90421201084928</v>
      </c>
      <c r="M38" s="28"/>
    </row>
    <row r="39" spans="2:13" ht="21" customHeight="1">
      <c r="B39" s="29" t="s">
        <v>91</v>
      </c>
      <c r="C39" s="23">
        <f>13536162255.53</f>
        <v>13536162255.53</v>
      </c>
      <c r="D39" s="23">
        <f>11378716817.34</f>
        <v>11378716817.34</v>
      </c>
      <c r="E39" s="23">
        <f>11389798099.88</f>
        <v>11389798099.88</v>
      </c>
      <c r="F39" s="23" t="s">
        <v>61</v>
      </c>
      <c r="G39" s="23" t="s">
        <v>61</v>
      </c>
      <c r="H39" s="23" t="s">
        <v>61</v>
      </c>
      <c r="I39" s="23" t="s">
        <v>61</v>
      </c>
      <c r="J39" s="23" t="s">
        <v>61</v>
      </c>
      <c r="K39" s="32">
        <f t="shared" si="0"/>
        <v>3.731581951091667</v>
      </c>
      <c r="L39" s="32">
        <f t="shared" si="1"/>
        <v>84.06161659809739</v>
      </c>
      <c r="M39" s="28"/>
    </row>
    <row r="40" spans="2:13" ht="35.25" customHeight="1">
      <c r="B40" s="68" t="s">
        <v>64</v>
      </c>
      <c r="C40" s="69">
        <f>C41+C42+C43+C44+C45+C46</f>
        <v>67005277521.61</v>
      </c>
      <c r="D40" s="69">
        <f>D41+D42+D43+D44+D45+D46</f>
        <v>67029414434.84</v>
      </c>
      <c r="E40" s="69">
        <f>E41+E42+E43+E44+E45+E46</f>
        <v>66886830286.14</v>
      </c>
      <c r="F40" s="72" t="s">
        <v>61</v>
      </c>
      <c r="G40" s="72" t="s">
        <v>61</v>
      </c>
      <c r="H40" s="72" t="s">
        <v>61</v>
      </c>
      <c r="I40" s="72" t="s">
        <v>61</v>
      </c>
      <c r="J40" s="72" t="s">
        <v>61</v>
      </c>
      <c r="K40" s="70">
        <f t="shared" si="0"/>
        <v>21.98189454158189</v>
      </c>
      <c r="L40" s="70">
        <f t="shared" si="1"/>
        <v>100.0360224061787</v>
      </c>
      <c r="M40" s="28"/>
    </row>
    <row r="41" spans="2:13" ht="26.25" customHeight="1">
      <c r="B41" s="21" t="s">
        <v>50</v>
      </c>
      <c r="C41" s="23">
        <f>13235465090</f>
        <v>13235465090</v>
      </c>
      <c r="D41" s="23">
        <f>13235167562</f>
        <v>13235167562</v>
      </c>
      <c r="E41" s="23">
        <f>13233729736</f>
        <v>13233729736</v>
      </c>
      <c r="F41" s="23" t="s">
        <v>61</v>
      </c>
      <c r="G41" s="23" t="s">
        <v>61</v>
      </c>
      <c r="H41" s="23" t="s">
        <v>61</v>
      </c>
      <c r="I41" s="23" t="s">
        <v>61</v>
      </c>
      <c r="J41" s="23" t="s">
        <v>61</v>
      </c>
      <c r="K41" s="32">
        <f t="shared" si="0"/>
        <v>4.340393841137752</v>
      </c>
      <c r="L41" s="32">
        <f t="shared" si="1"/>
        <v>99.99775203970562</v>
      </c>
      <c r="M41" s="28"/>
    </row>
    <row r="42" spans="2:13" ht="26.25" customHeight="1">
      <c r="B42" s="21" t="s">
        <v>49</v>
      </c>
      <c r="C42" s="23">
        <f>50154427482.61</f>
        <v>50154427482.61</v>
      </c>
      <c r="D42" s="23">
        <f>50156575249.84</f>
        <v>50156575249.84</v>
      </c>
      <c r="E42" s="23">
        <f>50015948435.14</f>
        <v>50015948435.14</v>
      </c>
      <c r="F42" s="23" t="s">
        <v>61</v>
      </c>
      <c r="G42" s="23" t="s">
        <v>61</v>
      </c>
      <c r="H42" s="23" t="s">
        <v>61</v>
      </c>
      <c r="I42" s="23" t="s">
        <v>61</v>
      </c>
      <c r="J42" s="23" t="s">
        <v>61</v>
      </c>
      <c r="K42" s="32">
        <f t="shared" si="0"/>
        <v>16.44854810391767</v>
      </c>
      <c r="L42" s="32">
        <f t="shared" si="1"/>
        <v>100.00428230833808</v>
      </c>
      <c r="M42" s="28"/>
    </row>
    <row r="43" spans="2:13" ht="26.25" customHeight="1">
      <c r="B43" s="21" t="s">
        <v>48</v>
      </c>
      <c r="C43" s="23">
        <f>11190438</f>
        <v>11190438</v>
      </c>
      <c r="D43" s="23">
        <f>11190438</f>
        <v>11190438</v>
      </c>
      <c r="E43" s="23">
        <f>11190438</f>
        <v>11190438</v>
      </c>
      <c r="F43" s="23" t="s">
        <v>61</v>
      </c>
      <c r="G43" s="23" t="s">
        <v>61</v>
      </c>
      <c r="H43" s="23" t="s">
        <v>61</v>
      </c>
      <c r="I43" s="23" t="s">
        <v>61</v>
      </c>
      <c r="J43" s="23" t="s">
        <v>61</v>
      </c>
      <c r="K43" s="32">
        <f t="shared" si="0"/>
        <v>0.0036698370419040007</v>
      </c>
      <c r="L43" s="32">
        <f t="shared" si="1"/>
        <v>100</v>
      </c>
      <c r="M43" s="28"/>
    </row>
    <row r="44" spans="2:13" ht="26.25" customHeight="1">
      <c r="B44" s="21" t="s">
        <v>47</v>
      </c>
      <c r="C44" s="23">
        <f>2013840159</f>
        <v>2013840159</v>
      </c>
      <c r="D44" s="23">
        <f>2013840159</f>
        <v>2013840159</v>
      </c>
      <c r="E44" s="23">
        <f>2013633748</f>
        <v>2013633748</v>
      </c>
      <c r="F44" s="23" t="s">
        <v>61</v>
      </c>
      <c r="G44" s="23" t="s">
        <v>61</v>
      </c>
      <c r="H44" s="23" t="s">
        <v>61</v>
      </c>
      <c r="I44" s="23" t="s">
        <v>61</v>
      </c>
      <c r="J44" s="23" t="s">
        <v>61</v>
      </c>
      <c r="K44" s="32">
        <f t="shared" si="0"/>
        <v>0.6604268047391928</v>
      </c>
      <c r="L44" s="32">
        <f t="shared" si="1"/>
        <v>100</v>
      </c>
      <c r="M44" s="28"/>
    </row>
    <row r="45" spans="2:13" ht="26.25" customHeight="1">
      <c r="B45" s="21" t="s">
        <v>60</v>
      </c>
      <c r="C45" s="23">
        <f>592596922</f>
        <v>592596922</v>
      </c>
      <c r="D45" s="23">
        <f>592596922</f>
        <v>592596922</v>
      </c>
      <c r="E45" s="23">
        <f>592596922</f>
        <v>592596922</v>
      </c>
      <c r="F45" s="23" t="s">
        <v>61</v>
      </c>
      <c r="G45" s="23" t="s">
        <v>61</v>
      </c>
      <c r="H45" s="23" t="s">
        <v>61</v>
      </c>
      <c r="I45" s="23" t="s">
        <v>61</v>
      </c>
      <c r="J45" s="23" t="s">
        <v>61</v>
      </c>
      <c r="K45" s="32">
        <f t="shared" si="0"/>
        <v>0.1943386072353822</v>
      </c>
      <c r="L45" s="32">
        <f t="shared" si="1"/>
        <v>100</v>
      </c>
      <c r="M45" s="28"/>
    </row>
    <row r="46" spans="2:13" ht="26.25" customHeight="1">
      <c r="B46" s="21" t="s">
        <v>45</v>
      </c>
      <c r="C46" s="23">
        <f>997757430</f>
        <v>997757430</v>
      </c>
      <c r="D46" s="23">
        <f>1020044104</f>
        <v>1020044104</v>
      </c>
      <c r="E46" s="23">
        <f>1019731007</f>
        <v>1019731007</v>
      </c>
      <c r="F46" s="23" t="s">
        <v>61</v>
      </c>
      <c r="G46" s="23" t="s">
        <v>61</v>
      </c>
      <c r="H46" s="23" t="s">
        <v>61</v>
      </c>
      <c r="I46" s="23" t="s">
        <v>61</v>
      </c>
      <c r="J46" s="23" t="s">
        <v>61</v>
      </c>
      <c r="K46" s="32">
        <f t="shared" si="0"/>
        <v>0.3345173475099882</v>
      </c>
      <c r="L46" s="32">
        <f t="shared" si="1"/>
        <v>102.23367657607922</v>
      </c>
      <c r="M46" s="28"/>
    </row>
    <row r="47" spans="1:13" s="6" customFormat="1" ht="13.5" customHeight="1">
      <c r="A47" s="3"/>
      <c r="B47" s="22"/>
      <c r="C47" s="8"/>
      <c r="D47" s="9"/>
      <c r="E47" s="9"/>
      <c r="F47" s="16"/>
      <c r="G47" s="16"/>
      <c r="H47" s="16"/>
      <c r="I47" s="16"/>
      <c r="J47" s="16"/>
      <c r="K47" s="10"/>
      <c r="L47" s="10"/>
      <c r="M47" s="4"/>
    </row>
    <row r="48" spans="1:13" s="6" customFormat="1" ht="18.75" customHeight="1">
      <c r="A48" s="3"/>
      <c r="B48" s="75" t="s">
        <v>5</v>
      </c>
      <c r="C48" s="76">
        <f aca="true" t="shared" si="4" ref="C48:J48">+C6</f>
        <v>303742793678.49</v>
      </c>
      <c r="D48" s="76">
        <f t="shared" si="4"/>
        <v>304930106493.07</v>
      </c>
      <c r="E48" s="76">
        <f t="shared" si="4"/>
        <v>304871222091.14</v>
      </c>
      <c r="F48" s="76">
        <f t="shared" si="4"/>
        <v>3218809606.18</v>
      </c>
      <c r="G48" s="76">
        <f t="shared" si="4"/>
        <v>867056348.73</v>
      </c>
      <c r="H48" s="76">
        <f t="shared" si="4"/>
        <v>168325604.06</v>
      </c>
      <c r="I48" s="76">
        <f t="shared" si="4"/>
        <v>200400849.84</v>
      </c>
      <c r="J48" s="76">
        <f t="shared" si="4"/>
        <v>10724142.64</v>
      </c>
      <c r="K48" s="77">
        <f>IF($D$48=0,"",100*$D48/$D$48)</f>
        <v>100</v>
      </c>
      <c r="L48" s="77">
        <f t="shared" si="1"/>
        <v>100.39089415100224</v>
      </c>
      <c r="M48" s="4"/>
    </row>
    <row r="49" spans="1:13" s="6" customFormat="1" ht="24.75" customHeight="1">
      <c r="A49" s="3"/>
      <c r="B49" s="66" t="s">
        <v>76</v>
      </c>
      <c r="C49" s="67">
        <f>31061933424.17</f>
        <v>31061933424.17</v>
      </c>
      <c r="D49" s="67">
        <f>33056981631.47</f>
        <v>33056981631.47</v>
      </c>
      <c r="E49" s="67">
        <f>33493960541</f>
        <v>33493960541</v>
      </c>
      <c r="F49" s="67">
        <f>0</f>
        <v>0</v>
      </c>
      <c r="G49" s="67">
        <f>18947.45</f>
        <v>18947.45</v>
      </c>
      <c r="H49" s="67">
        <f>0</f>
        <v>0</v>
      </c>
      <c r="I49" s="67">
        <f>133624.4</f>
        <v>133624.4</v>
      </c>
      <c r="J49" s="67">
        <f>0</f>
        <v>0</v>
      </c>
      <c r="K49" s="33">
        <f>IF($D$48=0,"",100*$D49/$D$48)</f>
        <v>10.84083890949655</v>
      </c>
      <c r="L49" s="33">
        <f t="shared" si="1"/>
        <v>106.42280755694237</v>
      </c>
      <c r="M49" s="4"/>
    </row>
    <row r="50" spans="1:13" s="6" customFormat="1" ht="24.75" customHeight="1">
      <c r="A50" s="3"/>
      <c r="B50" s="66" t="s">
        <v>77</v>
      </c>
      <c r="C50" s="67">
        <f>+C48-C49</f>
        <v>272680860254.32</v>
      </c>
      <c r="D50" s="67">
        <f aca="true" t="shared" si="5" ref="D50:J50">+D48-D49</f>
        <v>271873124861.6</v>
      </c>
      <c r="E50" s="67">
        <f t="shared" si="5"/>
        <v>271377261550.14</v>
      </c>
      <c r="F50" s="67">
        <f t="shared" si="5"/>
        <v>3218809606.18</v>
      </c>
      <c r="G50" s="67">
        <f t="shared" si="5"/>
        <v>867037401.28</v>
      </c>
      <c r="H50" s="67">
        <f t="shared" si="5"/>
        <v>168325604.06</v>
      </c>
      <c r="I50" s="67">
        <f t="shared" si="5"/>
        <v>200267225.44</v>
      </c>
      <c r="J50" s="67">
        <f t="shared" si="5"/>
        <v>10724142.64</v>
      </c>
      <c r="K50" s="33">
        <f>IF($D$48=0,"",100*$D50/$D$48)</f>
        <v>89.15916109050345</v>
      </c>
      <c r="L50" s="33">
        <f t="shared" si="1"/>
        <v>99.70377994555002</v>
      </c>
      <c r="M50" s="4"/>
    </row>
    <row r="51" spans="1:13" s="6" customFormat="1" ht="13.5" customHeight="1">
      <c r="A51" s="3"/>
      <c r="B51" s="22"/>
      <c r="C51" s="8"/>
      <c r="D51" s="9"/>
      <c r="E51" s="9"/>
      <c r="F51" s="16"/>
      <c r="G51" s="16"/>
      <c r="H51" s="16"/>
      <c r="I51" s="16"/>
      <c r="J51" s="16"/>
      <c r="K51" s="10"/>
      <c r="L51" s="10"/>
      <c r="M51" s="4"/>
    </row>
    <row r="52" spans="2:13" ht="37.5" customHeight="1">
      <c r="B52" s="96" t="s">
        <v>103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</row>
    <row r="53" spans="2:13" s="6" customFormat="1" ht="13.5" customHeight="1">
      <c r="B53" s="7"/>
      <c r="C53" s="8"/>
      <c r="D53" s="9"/>
      <c r="E53" s="9"/>
      <c r="F53" s="5"/>
      <c r="G53" s="5"/>
      <c r="H53" s="5"/>
      <c r="I53" s="5"/>
      <c r="J53" s="5"/>
      <c r="K53" s="10"/>
      <c r="L53" s="10"/>
      <c r="M53" s="4"/>
    </row>
    <row r="54" spans="2:27" ht="29.25" customHeight="1">
      <c r="B54" s="92" t="s">
        <v>0</v>
      </c>
      <c r="C54" s="91" t="s">
        <v>56</v>
      </c>
      <c r="D54" s="91" t="s">
        <v>57</v>
      </c>
      <c r="E54" s="91" t="s">
        <v>58</v>
      </c>
      <c r="F54" s="91" t="s">
        <v>12</v>
      </c>
      <c r="G54" s="91"/>
      <c r="H54" s="91"/>
      <c r="I54" s="91" t="s">
        <v>92</v>
      </c>
      <c r="J54" s="91"/>
      <c r="K54" s="91" t="s">
        <v>2</v>
      </c>
      <c r="L54" s="99" t="s">
        <v>36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2:27" ht="18" customHeight="1">
      <c r="B55" s="92"/>
      <c r="C55" s="91"/>
      <c r="D55" s="97"/>
      <c r="E55" s="91"/>
      <c r="F55" s="88" t="s">
        <v>59</v>
      </c>
      <c r="G55" s="98" t="s">
        <v>34</v>
      </c>
      <c r="H55" s="97"/>
      <c r="I55" s="91"/>
      <c r="J55" s="91"/>
      <c r="K55" s="91"/>
      <c r="L55" s="99"/>
      <c r="M55" s="12"/>
      <c r="N55" s="13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2:27" ht="36" customHeight="1">
      <c r="B56" s="92"/>
      <c r="C56" s="91"/>
      <c r="D56" s="97"/>
      <c r="E56" s="91"/>
      <c r="F56" s="97"/>
      <c r="G56" s="18" t="s">
        <v>54</v>
      </c>
      <c r="H56" s="18" t="s">
        <v>55</v>
      </c>
      <c r="I56" s="91"/>
      <c r="J56" s="91"/>
      <c r="K56" s="91"/>
      <c r="L56" s="99"/>
      <c r="M56" s="12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13.5" customHeight="1">
      <c r="B57" s="92"/>
      <c r="C57" s="93" t="s">
        <v>81</v>
      </c>
      <c r="D57" s="93"/>
      <c r="E57" s="93"/>
      <c r="F57" s="93"/>
      <c r="G57" s="93"/>
      <c r="H57" s="93"/>
      <c r="I57" s="93"/>
      <c r="J57" s="93"/>
      <c r="K57" s="93" t="s">
        <v>4</v>
      </c>
      <c r="L57" s="93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11.25" customHeight="1">
      <c r="B58" s="17">
        <v>1</v>
      </c>
      <c r="C58" s="19">
        <v>2</v>
      </c>
      <c r="D58" s="19">
        <v>3</v>
      </c>
      <c r="E58" s="19">
        <v>4</v>
      </c>
      <c r="F58" s="17">
        <v>5</v>
      </c>
      <c r="G58" s="17">
        <v>6</v>
      </c>
      <c r="H58" s="19">
        <v>7</v>
      </c>
      <c r="I58" s="97">
        <v>8</v>
      </c>
      <c r="J58" s="97"/>
      <c r="K58" s="17">
        <v>9</v>
      </c>
      <c r="L58" s="19">
        <v>10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12" ht="44.25" customHeight="1">
      <c r="B59" s="68" t="s">
        <v>65</v>
      </c>
      <c r="C59" s="76">
        <f>324912296266.7</f>
        <v>324912296266.7</v>
      </c>
      <c r="D59" s="76">
        <f>299562252946.69</f>
        <v>299562252946.69</v>
      </c>
      <c r="E59" s="76">
        <f>299240623802.62</f>
        <v>299240623802.62</v>
      </c>
      <c r="F59" s="76">
        <f>12749082839.89</f>
        <v>12749082839.89</v>
      </c>
      <c r="G59" s="76">
        <f>6306993.4</f>
        <v>6306993.4</v>
      </c>
      <c r="H59" s="76">
        <f>15430154.02</f>
        <v>15430154.02</v>
      </c>
      <c r="I59" s="104">
        <f>1658821670.39</f>
        <v>1658821670.39</v>
      </c>
      <c r="J59" s="104"/>
      <c r="K59" s="60">
        <f aca="true" t="shared" si="6" ref="K59:K68">IF($E$59=0,"",100*$E59/$E$59)</f>
        <v>100</v>
      </c>
      <c r="L59" s="60">
        <f aca="true" t="shared" si="7" ref="L59:L68">IF(C59=0,"",100*E59/C59)</f>
        <v>92.09889168275498</v>
      </c>
    </row>
    <row r="60" spans="2:12" ht="24" customHeight="1">
      <c r="B60" s="20" t="s">
        <v>14</v>
      </c>
      <c r="C60" s="26">
        <f>59604284435.96</f>
        <v>59604284435.96</v>
      </c>
      <c r="D60" s="26">
        <f>48883642158.9</f>
        <v>48883642158.9</v>
      </c>
      <c r="E60" s="26">
        <f>48751814791.03</f>
        <v>48751814791.03</v>
      </c>
      <c r="F60" s="26">
        <f>1674032210.83</f>
        <v>1674032210.83</v>
      </c>
      <c r="G60" s="26">
        <f>734731.13</f>
        <v>734731.13</v>
      </c>
      <c r="H60" s="26">
        <f>1397811.97</f>
        <v>1397811.97</v>
      </c>
      <c r="I60" s="105">
        <f>1459403826.88</f>
        <v>1459403826.88</v>
      </c>
      <c r="J60" s="106"/>
      <c r="K60" s="34">
        <f t="shared" si="6"/>
        <v>16.29184372479682</v>
      </c>
      <c r="L60" s="34">
        <f t="shared" si="7"/>
        <v>81.79246718985428</v>
      </c>
    </row>
    <row r="61" spans="2:12" ht="22.5" customHeight="1">
      <c r="B61" s="21" t="s">
        <v>13</v>
      </c>
      <c r="C61" s="23">
        <f>57312894960.57</f>
        <v>57312894960.57</v>
      </c>
      <c r="D61" s="23">
        <f>46765261946.88</f>
        <v>46765261946.88</v>
      </c>
      <c r="E61" s="23">
        <f>46633434579.15</f>
        <v>46633434579.15</v>
      </c>
      <c r="F61" s="23">
        <f>1589318412.91</f>
        <v>1589318412.91</v>
      </c>
      <c r="G61" s="23">
        <f>734731.13</f>
        <v>734731.13</v>
      </c>
      <c r="H61" s="23">
        <f>1397811.97</f>
        <v>1397811.97</v>
      </c>
      <c r="I61" s="102">
        <f>1459403826.88</f>
        <v>1459403826.88</v>
      </c>
      <c r="J61" s="103"/>
      <c r="K61" s="35">
        <f t="shared" si="6"/>
        <v>15.58392506557183</v>
      </c>
      <c r="L61" s="35">
        <f t="shared" si="7"/>
        <v>81.3663916492663</v>
      </c>
    </row>
    <row r="62" spans="2:12" ht="44.25" customHeight="1">
      <c r="B62" s="68" t="s">
        <v>66</v>
      </c>
      <c r="C62" s="76">
        <f aca="true" t="shared" si="8" ref="C62:I62">C59-C60</f>
        <v>265308011830.74002</v>
      </c>
      <c r="D62" s="76">
        <f t="shared" si="8"/>
        <v>250678610787.79</v>
      </c>
      <c r="E62" s="76">
        <f t="shared" si="8"/>
        <v>250488809011.59</v>
      </c>
      <c r="F62" s="76">
        <f t="shared" si="8"/>
        <v>11075050629.06</v>
      </c>
      <c r="G62" s="76">
        <f t="shared" si="8"/>
        <v>5572262.2700000005</v>
      </c>
      <c r="H62" s="76">
        <f t="shared" si="8"/>
        <v>14032342.049999999</v>
      </c>
      <c r="I62" s="104">
        <f t="shared" si="8"/>
        <v>199417843.51</v>
      </c>
      <c r="J62" s="104"/>
      <c r="K62" s="60">
        <f t="shared" si="6"/>
        <v>83.70815627520318</v>
      </c>
      <c r="L62" s="60">
        <f t="shared" si="7"/>
        <v>94.41434025422335</v>
      </c>
    </row>
    <row r="63" spans="2:12" ht="22.5" customHeight="1">
      <c r="B63" s="21" t="s">
        <v>102</v>
      </c>
      <c r="C63" s="23">
        <f>100121495011.78</f>
        <v>100121495011.78</v>
      </c>
      <c r="D63" s="23">
        <f>96527843092.3</f>
        <v>96527843092.3</v>
      </c>
      <c r="E63" s="23">
        <f>96456211084.62</f>
        <v>96456211084.62</v>
      </c>
      <c r="F63" s="23">
        <f>8099184317.59</f>
        <v>8099184317.59</v>
      </c>
      <c r="G63" s="23">
        <f>285990.91</f>
        <v>285990.91</v>
      </c>
      <c r="H63" s="23">
        <f>1854350.04</f>
        <v>1854350.04</v>
      </c>
      <c r="I63" s="102">
        <f>858099.71</f>
        <v>858099.71</v>
      </c>
      <c r="J63" s="103"/>
      <c r="K63" s="35">
        <f t="shared" si="6"/>
        <v>32.23366194699648</v>
      </c>
      <c r="L63" s="35">
        <f t="shared" si="7"/>
        <v>96.3391638062049</v>
      </c>
    </row>
    <row r="64" spans="2:12" ht="22.5" customHeight="1">
      <c r="B64" s="21" t="s">
        <v>53</v>
      </c>
      <c r="C64" s="23">
        <f>27345299722.27</f>
        <v>27345299722.27</v>
      </c>
      <c r="D64" s="23">
        <f>26246498830.82</f>
        <v>26246498830.82</v>
      </c>
      <c r="E64" s="23">
        <f>26234186016.9</f>
        <v>26234186016.9</v>
      </c>
      <c r="F64" s="23">
        <f>16417828.66</f>
        <v>16417828.66</v>
      </c>
      <c r="G64" s="23">
        <f>150205.93</f>
        <v>150205.93</v>
      </c>
      <c r="H64" s="23">
        <f>1428251.9</f>
        <v>1428251.9</v>
      </c>
      <c r="I64" s="102">
        <f>33180645.11</f>
        <v>33180645.11</v>
      </c>
      <c r="J64" s="103"/>
      <c r="K64" s="35">
        <f t="shared" si="6"/>
        <v>8.766919973473971</v>
      </c>
      <c r="L64" s="35">
        <f t="shared" si="7"/>
        <v>95.93672873709586</v>
      </c>
    </row>
    <row r="65" spans="2:12" ht="22.5" customHeight="1">
      <c r="B65" s="21" t="s">
        <v>52</v>
      </c>
      <c r="C65" s="23">
        <f>2176297767.08</f>
        <v>2176297767.08</v>
      </c>
      <c r="D65" s="23">
        <f>1641032516.48</f>
        <v>1641032516.48</v>
      </c>
      <c r="E65" s="23">
        <f>1637865925.59</f>
        <v>1637865925.59</v>
      </c>
      <c r="F65" s="23">
        <f>25912473.83</f>
        <v>25912473.83</v>
      </c>
      <c r="G65" s="23">
        <f>0</f>
        <v>0</v>
      </c>
      <c r="H65" s="23">
        <f>639.26</f>
        <v>639.26</v>
      </c>
      <c r="I65" s="102">
        <f>0</f>
        <v>0</v>
      </c>
      <c r="J65" s="103"/>
      <c r="K65" s="35">
        <f t="shared" si="6"/>
        <v>0.5473407670311305</v>
      </c>
      <c r="L65" s="35">
        <f t="shared" si="7"/>
        <v>75.25927519502862</v>
      </c>
    </row>
    <row r="66" spans="2:12" ht="33.75" customHeight="1">
      <c r="B66" s="21" t="s">
        <v>69</v>
      </c>
      <c r="C66" s="23">
        <f>219350242.9</f>
        <v>219350242.9</v>
      </c>
      <c r="D66" s="23">
        <f>21730809.48</f>
        <v>21730809.48</v>
      </c>
      <c r="E66" s="23">
        <f>21423724.24</f>
        <v>21423724.24</v>
      </c>
      <c r="F66" s="23">
        <f>356915.46</f>
        <v>356915.46</v>
      </c>
      <c r="G66" s="23">
        <f>0</f>
        <v>0</v>
      </c>
      <c r="H66" s="23">
        <f>0</f>
        <v>0</v>
      </c>
      <c r="I66" s="102">
        <f>0</f>
        <v>0</v>
      </c>
      <c r="J66" s="103"/>
      <c r="K66" s="35">
        <f t="shared" si="6"/>
        <v>0.007159363580972598</v>
      </c>
      <c r="L66" s="35">
        <f t="shared" si="7"/>
        <v>9.76690244640709</v>
      </c>
    </row>
    <row r="67" spans="2:12" ht="30" customHeight="1">
      <c r="B67" s="21" t="s">
        <v>71</v>
      </c>
      <c r="C67" s="23">
        <f>61486690972.75</f>
        <v>61486690972.75</v>
      </c>
      <c r="D67" s="23">
        <f>60743653799.42</f>
        <v>60743653799.42</v>
      </c>
      <c r="E67" s="23">
        <f>60728595478.64</f>
        <v>60728595478.64</v>
      </c>
      <c r="F67" s="23">
        <f>648347029.03</f>
        <v>648347029.03</v>
      </c>
      <c r="G67" s="23">
        <f>3196.38</f>
        <v>3196.38</v>
      </c>
      <c r="H67" s="23">
        <f>1029980.46</f>
        <v>1029980.46</v>
      </c>
      <c r="I67" s="102">
        <f>72687.25</f>
        <v>72687.25</v>
      </c>
      <c r="J67" s="103"/>
      <c r="K67" s="35">
        <f t="shared" si="6"/>
        <v>20.294235022948207</v>
      </c>
      <c r="L67" s="35">
        <f t="shared" si="7"/>
        <v>98.76705758251656</v>
      </c>
    </row>
    <row r="68" spans="2:12" ht="22.5" customHeight="1">
      <c r="B68" s="21" t="s">
        <v>51</v>
      </c>
      <c r="C68" s="23">
        <f aca="true" t="shared" si="9" ref="C68:I68">C62-C63-C64-C65-C66-C67</f>
        <v>73958878113.96004</v>
      </c>
      <c r="D68" s="23">
        <f t="shared" si="9"/>
        <v>65497851739.28999</v>
      </c>
      <c r="E68" s="23">
        <f t="shared" si="9"/>
        <v>65410526781.600006</v>
      </c>
      <c r="F68" s="23">
        <f t="shared" si="9"/>
        <v>2284832064.49</v>
      </c>
      <c r="G68" s="23">
        <f t="shared" si="9"/>
        <v>5132869.050000001</v>
      </c>
      <c r="H68" s="23">
        <f t="shared" si="9"/>
        <v>9719120.389999997</v>
      </c>
      <c r="I68" s="102">
        <f t="shared" si="9"/>
        <v>165306411.44</v>
      </c>
      <c r="J68" s="103"/>
      <c r="K68" s="35">
        <f t="shared" si="6"/>
        <v>21.858839201172426</v>
      </c>
      <c r="L68" s="35">
        <f t="shared" si="7"/>
        <v>88.44175094274924</v>
      </c>
    </row>
    <row r="69" spans="2:13" ht="24" customHeight="1">
      <c r="B69" s="20" t="s">
        <v>15</v>
      </c>
      <c r="C69" s="26">
        <f>C6-C59</f>
        <v>-21169502588.210022</v>
      </c>
      <c r="D69" s="26"/>
      <c r="E69" s="26">
        <f>D6-E59</f>
        <v>5689482690.450012</v>
      </c>
      <c r="F69" s="26"/>
      <c r="G69" s="26"/>
      <c r="H69" s="26"/>
      <c r="I69" s="105"/>
      <c r="J69" s="105"/>
      <c r="K69" s="27"/>
      <c r="L69" s="27"/>
      <c r="M69" s="14"/>
    </row>
    <row r="70" spans="2:13" ht="38.25">
      <c r="B70" s="61" t="s">
        <v>80</v>
      </c>
      <c r="C70" s="62">
        <f>+C50-C62</f>
        <v>7372848423.579987</v>
      </c>
      <c r="D70" s="62"/>
      <c r="E70" s="62">
        <f>+D50-E62</f>
        <v>21384315850.01001</v>
      </c>
      <c r="F70" s="62"/>
      <c r="G70" s="62"/>
      <c r="H70" s="62"/>
      <c r="I70" s="100"/>
      <c r="J70" s="101"/>
      <c r="K70" s="27"/>
      <c r="L70" s="27"/>
      <c r="M70" s="14"/>
    </row>
    <row r="71" spans="2:13" ht="12" customHeight="1" thickBot="1">
      <c r="B71" s="63"/>
      <c r="C71" s="64"/>
      <c r="D71" s="64"/>
      <c r="E71" s="64"/>
      <c r="F71" s="2"/>
      <c r="G71" s="2"/>
      <c r="H71" s="2"/>
      <c r="I71" s="2"/>
      <c r="L71" s="11"/>
      <c r="M71" s="11"/>
    </row>
    <row r="72" spans="2:13" ht="12" customHeight="1" thickBot="1">
      <c r="B72" s="65" t="s">
        <v>74</v>
      </c>
      <c r="C72" s="64"/>
      <c r="D72" s="64"/>
      <c r="E72" s="64"/>
      <c r="F72" s="2"/>
      <c r="G72" s="2"/>
      <c r="H72" s="2"/>
      <c r="I72" s="2"/>
      <c r="L72" s="11"/>
      <c r="M72" s="11"/>
    </row>
    <row r="73" spans="2:13" ht="35.25" customHeight="1">
      <c r="B73" s="81" t="s">
        <v>75</v>
      </c>
      <c r="C73" s="76">
        <f>29843516537.27</f>
        <v>29843516537.27</v>
      </c>
      <c r="D73" s="76">
        <f>24060946016.19</f>
        <v>24060946016.19</v>
      </c>
      <c r="E73" s="76">
        <f>23981959314.07</f>
        <v>23981959314.07</v>
      </c>
      <c r="F73" s="76">
        <f>694086351.13</f>
        <v>694086351.13</v>
      </c>
      <c r="G73" s="76">
        <f>0</f>
        <v>0</v>
      </c>
      <c r="H73" s="76">
        <f>987697.22</f>
        <v>987697.22</v>
      </c>
      <c r="I73" s="104">
        <f>318247603.43</f>
        <v>318247603.43</v>
      </c>
      <c r="J73" s="104"/>
      <c r="K73" s="60">
        <f>IF($E$73=0,"",100*$E73/$E$73)</f>
        <v>100</v>
      </c>
      <c r="L73" s="60">
        <f>IF(C73=0,"",100*E73/C73)</f>
        <v>80.35902633699413</v>
      </c>
      <c r="M73" s="11"/>
    </row>
    <row r="74" spans="2:13" ht="21.75" customHeight="1">
      <c r="B74" s="78" t="s">
        <v>78</v>
      </c>
      <c r="C74" s="79">
        <f>22684513476.79</f>
        <v>22684513476.79</v>
      </c>
      <c r="D74" s="79">
        <f>18511960659.94</f>
        <v>18511960659.94</v>
      </c>
      <c r="E74" s="79">
        <f>18438898839.66</f>
        <v>18438898839.66</v>
      </c>
      <c r="F74" s="79">
        <f>622231207.37</f>
        <v>622231207.37</v>
      </c>
      <c r="G74" s="79">
        <f>0</f>
        <v>0</v>
      </c>
      <c r="H74" s="79">
        <f>987615.23</f>
        <v>987615.23</v>
      </c>
      <c r="I74" s="107">
        <f>312542014.47</f>
        <v>312542014.47</v>
      </c>
      <c r="J74" s="107"/>
      <c r="K74" s="80">
        <f>IF($E$73=0,"",100*$E74/$E$73)</f>
        <v>76.88654041224257</v>
      </c>
      <c r="L74" s="80">
        <f>IF(C74=0,"",100*E74/C74)</f>
        <v>81.2840833396142</v>
      </c>
      <c r="M74" s="11"/>
    </row>
    <row r="75" spans="2:12" ht="24" customHeight="1">
      <c r="B75" s="78" t="s">
        <v>79</v>
      </c>
      <c r="C75" s="79">
        <f aca="true" t="shared" si="10" ref="C75:I75">C73-C74</f>
        <v>7159003060.48</v>
      </c>
      <c r="D75" s="79">
        <f t="shared" si="10"/>
        <v>5548985356.25</v>
      </c>
      <c r="E75" s="79">
        <f t="shared" si="10"/>
        <v>5543060474.41</v>
      </c>
      <c r="F75" s="79">
        <f t="shared" si="10"/>
        <v>71855143.75999999</v>
      </c>
      <c r="G75" s="79">
        <f t="shared" si="10"/>
        <v>0</v>
      </c>
      <c r="H75" s="79">
        <f t="shared" si="10"/>
        <v>81.98999999999069</v>
      </c>
      <c r="I75" s="107">
        <f t="shared" si="10"/>
        <v>5705588.959999979</v>
      </c>
      <c r="J75" s="107"/>
      <c r="K75" s="80">
        <f>IF($E$73=0,"",100*$E75/$E$73)</f>
        <v>23.113459587757436</v>
      </c>
      <c r="L75" s="80">
        <f>IF(C75=0,"",100*E75/C75)</f>
        <v>77.42782657838879</v>
      </c>
    </row>
    <row r="76" spans="2:13" ht="20.25">
      <c r="B76" s="96" t="s">
        <v>103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</row>
    <row r="77" spans="2:8" ht="12.75">
      <c r="B77" s="41" t="s">
        <v>16</v>
      </c>
      <c r="C77" s="87" t="s">
        <v>17</v>
      </c>
      <c r="D77" s="86"/>
      <c r="E77" s="87" t="s">
        <v>1</v>
      </c>
      <c r="F77" s="86"/>
      <c r="G77" s="19" t="s">
        <v>26</v>
      </c>
      <c r="H77" s="19" t="s">
        <v>27</v>
      </c>
    </row>
    <row r="78" spans="2:8" ht="12.75">
      <c r="B78" s="41"/>
      <c r="C78" s="88" t="s">
        <v>81</v>
      </c>
      <c r="D78" s="89"/>
      <c r="E78" s="89"/>
      <c r="F78" s="90"/>
      <c r="G78" s="94" t="s">
        <v>4</v>
      </c>
      <c r="H78" s="95"/>
    </row>
    <row r="79" spans="2:8" ht="12.75">
      <c r="B79" s="39">
        <v>1</v>
      </c>
      <c r="C79" s="43">
        <v>2</v>
      </c>
      <c r="D79" s="44"/>
      <c r="E79" s="43">
        <v>3</v>
      </c>
      <c r="F79" s="44"/>
      <c r="G79" s="40">
        <v>4</v>
      </c>
      <c r="H79" s="40">
        <v>5</v>
      </c>
    </row>
    <row r="80" spans="2:8" ht="25.5">
      <c r="B80" s="38" t="s">
        <v>67</v>
      </c>
      <c r="C80" s="45">
        <f>34387882418.39</f>
        <v>34387882418.39</v>
      </c>
      <c r="D80" s="46"/>
      <c r="E80" s="45">
        <f>38204857626.38</f>
        <v>38204857626.38</v>
      </c>
      <c r="F80" s="46"/>
      <c r="G80" s="42">
        <f>IF($E$80=0,"",100*$E80/$E$80)</f>
        <v>100</v>
      </c>
      <c r="H80" s="34">
        <f>IF(C80=0,"",100*E80/C80)</f>
        <v>111.09976811467969</v>
      </c>
    </row>
    <row r="81" spans="2:8" ht="33.75">
      <c r="B81" s="37" t="s">
        <v>93</v>
      </c>
      <c r="C81" s="47">
        <f>19937796781.58</f>
        <v>19937796781.58</v>
      </c>
      <c r="D81" s="48"/>
      <c r="E81" s="47">
        <f>17104007237.11</f>
        <v>17104007237.11</v>
      </c>
      <c r="F81" s="48"/>
      <c r="G81" s="58">
        <f aca="true" t="shared" si="11" ref="G81:G88">IF($E$80=0,"",100*$E81/$E$80)</f>
        <v>44.769195070366884</v>
      </c>
      <c r="H81" s="59">
        <f aca="true" t="shared" si="12" ref="H81:H93">IF(C81=0,"",100*E81/C81)</f>
        <v>85.78684708488922</v>
      </c>
    </row>
    <row r="82" spans="2:8" ht="22.5">
      <c r="B82" s="30" t="s">
        <v>94</v>
      </c>
      <c r="C82" s="82">
        <f>1031047276.07</f>
        <v>1031047276.07</v>
      </c>
      <c r="D82" s="83"/>
      <c r="E82" s="82">
        <f>975494000</f>
        <v>975494000</v>
      </c>
      <c r="F82" s="83"/>
      <c r="G82" s="84">
        <f t="shared" si="11"/>
        <v>2.5533245262676574</v>
      </c>
      <c r="H82" s="80">
        <f t="shared" si="12"/>
        <v>94.61195646801472</v>
      </c>
    </row>
    <row r="83" spans="2:8" ht="12.75">
      <c r="B83" s="85" t="s">
        <v>95</v>
      </c>
      <c r="C83" s="82">
        <f>263713672.68</f>
        <v>263713672.68</v>
      </c>
      <c r="D83" s="83"/>
      <c r="E83" s="82">
        <f>193481443.17</f>
        <v>193481443.17</v>
      </c>
      <c r="F83" s="83"/>
      <c r="G83" s="84">
        <f t="shared" si="11"/>
        <v>0.506431525179676</v>
      </c>
      <c r="H83" s="80">
        <f t="shared" si="12"/>
        <v>73.36799840665735</v>
      </c>
    </row>
    <row r="84" spans="2:8" ht="12.75">
      <c r="B84" s="85" t="s">
        <v>96</v>
      </c>
      <c r="C84" s="82">
        <f>1587520668.1</f>
        <v>1587520668.1</v>
      </c>
      <c r="D84" s="83"/>
      <c r="E84" s="82">
        <f>2887705060.95</f>
        <v>2887705060.95</v>
      </c>
      <c r="F84" s="83"/>
      <c r="G84" s="84">
        <f t="shared" si="11"/>
        <v>7.5584761738676765</v>
      </c>
      <c r="H84" s="80">
        <f t="shared" si="12"/>
        <v>181.90031279442215</v>
      </c>
    </row>
    <row r="85" spans="2:8" ht="45">
      <c r="B85" s="85" t="s">
        <v>104</v>
      </c>
      <c r="C85" s="82">
        <f>1885811470.82</f>
        <v>1885811470.82</v>
      </c>
      <c r="D85" s="83"/>
      <c r="E85" s="82">
        <f>2153495287.93</f>
        <v>2153495287.93</v>
      </c>
      <c r="F85" s="83"/>
      <c r="G85" s="84">
        <f t="shared" si="11"/>
        <v>5.636705439370718</v>
      </c>
      <c r="H85" s="80">
        <f t="shared" si="12"/>
        <v>114.19462238150476</v>
      </c>
    </row>
    <row r="86" spans="2:8" ht="18" customHeight="1">
      <c r="B86" s="85" t="s">
        <v>97</v>
      </c>
      <c r="C86" s="82">
        <f>0</f>
        <v>0</v>
      </c>
      <c r="D86" s="83"/>
      <c r="E86" s="82">
        <f>0</f>
        <v>0</v>
      </c>
      <c r="F86" s="83"/>
      <c r="G86" s="84">
        <f t="shared" si="11"/>
        <v>0</v>
      </c>
      <c r="H86" s="80">
        <f t="shared" si="12"/>
      </c>
    </row>
    <row r="87" spans="2:8" ht="33.75">
      <c r="B87" s="85" t="s">
        <v>98</v>
      </c>
      <c r="C87" s="82">
        <f>10692838130.42</f>
        <v>10692838130.42</v>
      </c>
      <c r="D87" s="83"/>
      <c r="E87" s="82">
        <f>15731151123.62</f>
        <v>15731151123.62</v>
      </c>
      <c r="F87" s="83"/>
      <c r="G87" s="84">
        <f t="shared" si="11"/>
        <v>41.1757878473491</v>
      </c>
      <c r="H87" s="80">
        <f t="shared" si="12"/>
        <v>147.1185753655667</v>
      </c>
    </row>
    <row r="88" spans="2:8" ht="12.75">
      <c r="B88" s="85" t="s">
        <v>83</v>
      </c>
      <c r="C88" s="82">
        <f>20201694.79</f>
        <v>20201694.79</v>
      </c>
      <c r="D88" s="83"/>
      <c r="E88" s="82">
        <f>135017473.6</f>
        <v>135017473.6</v>
      </c>
      <c r="F88" s="83"/>
      <c r="G88" s="84">
        <f t="shared" si="11"/>
        <v>0.35340394386595503</v>
      </c>
      <c r="H88" s="80">
        <f t="shared" si="12"/>
        <v>668.3472599874874</v>
      </c>
    </row>
    <row r="89" spans="2:8" ht="25.5">
      <c r="B89" s="38" t="s">
        <v>68</v>
      </c>
      <c r="C89" s="55">
        <f>12950453210.45</f>
        <v>12950453210.45</v>
      </c>
      <c r="D89" s="56"/>
      <c r="E89" s="55">
        <f>11283764017.5</f>
        <v>11283764017.5</v>
      </c>
      <c r="F89" s="56"/>
      <c r="G89" s="42">
        <f>IF($E$89=0,"",100*$E89/$E$89)</f>
        <v>100</v>
      </c>
      <c r="H89" s="34">
        <f t="shared" si="12"/>
        <v>87.13026358332299</v>
      </c>
    </row>
    <row r="90" spans="2:8" ht="33.75">
      <c r="B90" s="37" t="s">
        <v>99</v>
      </c>
      <c r="C90" s="47">
        <f>10227334321.47</f>
        <v>10227334321.47</v>
      </c>
      <c r="D90" s="53"/>
      <c r="E90" s="54">
        <f>9591400821.78</f>
        <v>9591400821.78</v>
      </c>
      <c r="F90" s="53"/>
      <c r="G90" s="58">
        <f>IF($E$89=0,"",100*$E90/$E$89)</f>
        <v>85.0017849265962</v>
      </c>
      <c r="H90" s="59">
        <f t="shared" si="12"/>
        <v>93.78202100663711</v>
      </c>
    </row>
    <row r="91" spans="2:8" ht="22.5">
      <c r="B91" s="30" t="s">
        <v>100</v>
      </c>
      <c r="C91" s="82">
        <f>616660050</f>
        <v>616660050</v>
      </c>
      <c r="D91" s="83"/>
      <c r="E91" s="82">
        <f>349984601</f>
        <v>349984601</v>
      </c>
      <c r="F91" s="83"/>
      <c r="G91" s="84">
        <f>IF($E$89=0,"",100*$E91/$E$89)</f>
        <v>3.1016653703250845</v>
      </c>
      <c r="H91" s="80">
        <f t="shared" si="12"/>
        <v>56.7548685860224</v>
      </c>
    </row>
    <row r="92" spans="2:8" ht="12.75">
      <c r="B92" s="85" t="s">
        <v>101</v>
      </c>
      <c r="C92" s="82">
        <f>278554315.89</f>
        <v>278554315.89</v>
      </c>
      <c r="D92" s="83"/>
      <c r="E92" s="82">
        <f>234223301.79</f>
        <v>234223301.79</v>
      </c>
      <c r="F92" s="83"/>
      <c r="G92" s="84">
        <f>IF($E$89=0,"",100*$E92/$E$89)</f>
        <v>2.075755053249455</v>
      </c>
      <c r="H92" s="80">
        <f t="shared" si="12"/>
        <v>84.08532499007981</v>
      </c>
    </row>
    <row r="93" spans="2:8" ht="12.75">
      <c r="B93" s="36" t="s">
        <v>33</v>
      </c>
      <c r="C93" s="47">
        <f>2444564573.09</f>
        <v>2444564573.09</v>
      </c>
      <c r="D93" s="50"/>
      <c r="E93" s="47">
        <f>1458139893.93</f>
        <v>1458139893.93</v>
      </c>
      <c r="F93" s="50"/>
      <c r="G93" s="58">
        <f>IF($E$89=0,"",100*$E93/$E$89)</f>
        <v>12.922460020154352</v>
      </c>
      <c r="H93" s="59">
        <f t="shared" si="12"/>
        <v>59.648246153173574</v>
      </c>
    </row>
    <row r="95" spans="2:6" ht="12.75">
      <c r="B95" s="41" t="s">
        <v>16</v>
      </c>
      <c r="C95" s="87" t="s">
        <v>17</v>
      </c>
      <c r="D95" s="86"/>
      <c r="E95" s="87" t="s">
        <v>1</v>
      </c>
      <c r="F95" s="86"/>
    </row>
    <row r="96" spans="2:6" ht="12.75">
      <c r="B96" s="41"/>
      <c r="C96" s="88" t="s">
        <v>81</v>
      </c>
      <c r="D96" s="89"/>
      <c r="E96" s="89"/>
      <c r="F96" s="90"/>
    </row>
    <row r="97" spans="2:6" ht="12.75">
      <c r="B97" s="39">
        <v>1</v>
      </c>
      <c r="C97" s="43">
        <v>2</v>
      </c>
      <c r="D97" s="44"/>
      <c r="E97" s="43">
        <v>3</v>
      </c>
      <c r="F97" s="44"/>
    </row>
    <row r="98" spans="2:6" ht="22.5">
      <c r="B98" s="57" t="s">
        <v>84</v>
      </c>
      <c r="C98" s="52">
        <f>22026685758.81</f>
        <v>22026685758.81</v>
      </c>
      <c r="D98" s="49"/>
      <c r="E98" s="52">
        <f>5457335416.28</f>
        <v>5457335416.28</v>
      </c>
      <c r="F98" s="46"/>
    </row>
    <row r="99" spans="2:6" ht="56.25">
      <c r="B99" s="51" t="s">
        <v>85</v>
      </c>
      <c r="C99" s="54">
        <f>924555704.67</f>
        <v>924555704.67</v>
      </c>
      <c r="D99" s="53"/>
      <c r="E99" s="54">
        <f>457134289.38</f>
        <v>457134289.38</v>
      </c>
      <c r="F99" s="53"/>
    </row>
    <row r="100" spans="2:6" ht="12.75">
      <c r="B100" s="51" t="s">
        <v>86</v>
      </c>
      <c r="C100" s="54">
        <f>12335284343.78</f>
        <v>12335284343.78</v>
      </c>
      <c r="D100" s="53"/>
      <c r="E100" s="54">
        <f>3940804051.73</f>
        <v>3940804051.73</v>
      </c>
      <c r="F100" s="53"/>
    </row>
    <row r="101" spans="2:6" ht="33.75">
      <c r="B101" s="51" t="s">
        <v>87</v>
      </c>
      <c r="C101" s="54">
        <f>0</f>
        <v>0</v>
      </c>
      <c r="D101" s="53"/>
      <c r="E101" s="54">
        <f>0</f>
        <v>0</v>
      </c>
      <c r="F101" s="53"/>
    </row>
    <row r="102" spans="2:6" ht="33.75">
      <c r="B102" s="51" t="s">
        <v>88</v>
      </c>
      <c r="C102" s="54">
        <f>840001151.38</f>
        <v>840001151.38</v>
      </c>
      <c r="D102" s="53"/>
      <c r="E102" s="54">
        <f>82931570.71</f>
        <v>82931570.71</v>
      </c>
      <c r="F102" s="53"/>
    </row>
    <row r="103" spans="2:6" ht="101.25">
      <c r="B103" s="51" t="s">
        <v>89</v>
      </c>
      <c r="C103" s="54">
        <f>6364403340.26</f>
        <v>6364403340.26</v>
      </c>
      <c r="D103" s="53"/>
      <c r="E103" s="54">
        <f>657876159.2</f>
        <v>657876159.2</v>
      </c>
      <c r="F103" s="53"/>
    </row>
  </sheetData>
  <sheetProtection/>
  <mergeCells count="41">
    <mergeCell ref="I58:J58"/>
    <mergeCell ref="I75:J75"/>
    <mergeCell ref="I67:J67"/>
    <mergeCell ref="I65:J65"/>
    <mergeCell ref="I66:J66"/>
    <mergeCell ref="I68:J68"/>
    <mergeCell ref="I69:J69"/>
    <mergeCell ref="I73:J73"/>
    <mergeCell ref="I74:J74"/>
    <mergeCell ref="I63:J63"/>
    <mergeCell ref="I64:J64"/>
    <mergeCell ref="I59:J59"/>
    <mergeCell ref="I60:J60"/>
    <mergeCell ref="I61:J61"/>
    <mergeCell ref="I62:J62"/>
    <mergeCell ref="B1:M1"/>
    <mergeCell ref="B3:B4"/>
    <mergeCell ref="K4:M4"/>
    <mergeCell ref="C4:J4"/>
    <mergeCell ref="B52:M52"/>
    <mergeCell ref="B76:M76"/>
    <mergeCell ref="I54:J56"/>
    <mergeCell ref="D54:D56"/>
    <mergeCell ref="E54:E56"/>
    <mergeCell ref="F55:F56"/>
    <mergeCell ref="F54:H54"/>
    <mergeCell ref="G55:H55"/>
    <mergeCell ref="L54:L56"/>
    <mergeCell ref="I70:J70"/>
    <mergeCell ref="C57:J57"/>
    <mergeCell ref="C54:C56"/>
    <mergeCell ref="B54:B57"/>
    <mergeCell ref="K54:K56"/>
    <mergeCell ref="K57:L57"/>
    <mergeCell ref="G78:H78"/>
    <mergeCell ref="C95:D95"/>
    <mergeCell ref="E95:F95"/>
    <mergeCell ref="C96:F96"/>
    <mergeCell ref="C77:D77"/>
    <mergeCell ref="E77:F77"/>
    <mergeCell ref="C78:F78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55" r:id="rId3"/>
  <headerFooter alignWithMargins="0">
    <oddFooter>&amp;RStrona &amp;P z &amp;N</oddFooter>
  </headerFooter>
  <rowBreaks count="3" manualBreakCount="3">
    <brk id="21" max="255" man="1"/>
    <brk id="51" max="255" man="1"/>
    <brk id="75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2018-03-19T09:12:59Z</cp:lastPrinted>
  <dcterms:created xsi:type="dcterms:W3CDTF">2001-05-17T08:58:03Z</dcterms:created>
  <dcterms:modified xsi:type="dcterms:W3CDTF">2021-04-20T08:51:08Z</dcterms:modified>
  <cp:category/>
  <cp:version/>
  <cp:contentType/>
  <cp:contentStatus/>
</cp:coreProperties>
</file>