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'doch_wyd'!$A$1:$M$73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<sst xmlns="http://schemas.openxmlformats.org/spreadsheetml/2006/main" count="409" uniqueCount="79">
  <si>
    <t xml:space="preserve">Wyszczególnienie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</si>
  <si>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</si>
  <si>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</si>
  <si>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</si>
  <si>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</si>
  <si>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</si>
  <si>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</si>
  <si>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</si>
  <si>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</si>
  <si>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</si>
  <si>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</si>
  <si>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</si>
  <si>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</si>
  <si>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</si>
  <si>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</si>
  <si>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</si>
  <si>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</si>
  <si>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</si>
  <si>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</si>
  <si>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</si>
  <si>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</si>
  <si>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</si>
  <si>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</si>
  <si>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</si>
  <si>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</si>
  <si>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</si>
  <si>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</si>
  <si>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</si>
  <si>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</si>
  <si>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</si>
  <si>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</si>
  <si>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</si>
  <si>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</si>
  <si>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</si>
  <si>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</si>
  <si>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</si>
  <si>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</si>
  <si>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</si>
  <si>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</si>
  <si>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</si>
  <si>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</si>
  <si>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</si>
  <si>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</si>
  <si>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</si>
  <si>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</si>
  <si>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</si>
  <si>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</si>
  <si>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</si>
  <si>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</si>
  <si>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</si>
  <si>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</si>
  <si>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</si>
  <si>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</si>
  <si>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</si>
  <si>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</si>
  <si>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</si>
  <si>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</si>
  <si>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</si>
  <si>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</si>
  <si>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</si>
  <si>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wydatki z tytułu udzielania poręczeń i gwarancji</t>
  </si>
  <si>
    <t>Dotacje ogółem                     z tego:</t>
  </si>
  <si>
    <t>świadczenia na rzecz osób fizycznych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</si>
  <si>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</si>
  <si>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</si>
  <si>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</si>
  <si>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</si>
  <si>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</si>
  <si>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</si>
  <si>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</si>
  <si>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</si>
  <si>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</si>
  <si>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</si>
  <si>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</si>
  <si>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</si>
  <si>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</si>
  <si>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</si>
  <si>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na wynagrodzenia i pochodne od wynagrodzeń</t>
  </si>
  <si>
    <t>Informacja z wykonania budżetów gmin za GRUDZIEŃ rok    2019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</si>
</sst>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73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15">
      <c r="B1" s="58" t="s">
        <v>78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0.75" customHeight="1"/>
    <row r="3" spans="2:13" ht="63.75" customHeight="1">
      <c r="B3" s="61" t="s">
        <v>0</v>
      </c>
      <c r="C3" s="14" t="s">
        <v>31</v>
      </c>
      <c r="D3" s="14" t="s">
        <v>32</v>
      </c>
      <c r="E3" s="14" t="s">
        <v>33</v>
      </c>
      <c r="F3" s="14" t="s">
        <v>34</v>
      </c>
      <c r="G3" s="14" t="s">
        <v>35</v>
      </c>
      <c r="H3" s="14" t="s">
        <v>36</v>
      </c>
      <c r="I3" s="14" t="s">
        <v>37</v>
      </c>
      <c r="J3" s="14" t="s">
        <v>38</v>
      </c>
      <c r="K3" s="16" t="s">
        <v>1</v>
      </c>
      <c r="L3" s="14" t="s">
        <v>15</v>
      </c>
      <c r="M3" s="14" t="s">
        <v>2</v>
      </c>
    </row>
    <row r="4" spans="2:13" ht="12.75">
      <c r="B4" s="61"/>
      <c r="C4" s="62" t="s">
        <v>70</v>
      </c>
      <c r="D4" s="62"/>
      <c r="E4" s="62"/>
      <c r="F4" s="62"/>
      <c r="G4" s="62"/>
      <c r="H4" s="62"/>
      <c r="I4" s="62"/>
      <c r="J4" s="62"/>
      <c r="K4" s="62" t="s">
        <v>3</v>
      </c>
      <c r="L4" s="62"/>
      <c r="M4" s="62"/>
    </row>
    <row r="5" spans="2:13" ht="12.75">
      <c r="B5" s="16">
        <v>1</v>
      </c>
      <c r="C5" s="18">
        <v>2</v>
      </c>
      <c r="D5" s="18">
        <v>3</v>
      </c>
      <c r="E5" s="18">
        <v>4</v>
      </c>
      <c r="F5" s="16">
        <v>5</v>
      </c>
      <c r="G5" s="18">
        <v>6</v>
      </c>
      <c r="H5" s="16">
        <v>7</v>
      </c>
      <c r="I5" s="18">
        <v>8</v>
      </c>
      <c r="J5" s="16">
        <v>9</v>
      </c>
      <c r="K5" s="18">
        <v>10</v>
      </c>
      <c r="L5" s="16">
        <v>11</v>
      </c>
      <c r="M5" s="18">
        <v>12</v>
      </c>
    </row>
    <row r="6" spans="2:13" ht="12.75">
      <c r="B6" s="50" t="s">
        <v>4</v>
      </c>
      <c r="C6" s="37">
        <f>137206921922.67</f>
        <v>137206921922.67</v>
      </c>
      <c r="D6" s="37">
        <f>134901961655.08</f>
        <v>134901961655.08</v>
      </c>
      <c r="E6" s="36" t="s">
        <v>54</v>
      </c>
      <c r="F6" s="36" t="s">
        <v>54</v>
      </c>
      <c r="G6" s="36" t="s">
        <v>54</v>
      </c>
      <c r="H6" s="36" t="s">
        <v>54</v>
      </c>
      <c r="I6" s="36" t="s">
        <v>54</v>
      </c>
      <c r="J6" s="36" t="s">
        <v>54</v>
      </c>
      <c r="K6" s="38">
        <f aca="true" t="shared" si="0" ref="K6:K49">IF($D$6=0,"",100*$D6/$D$6)</f>
        <v>100</v>
      </c>
      <c r="L6" s="38">
        <f aca="true" t="shared" si="1" ref="L6:L45">IF(C6=0,"",100*D6/C6)</f>
        <v>98.32008455893423</v>
      </c>
      <c r="M6" s="38"/>
    </row>
    <row r="7" spans="2:13" ht="25.5" customHeight="1">
      <c r="B7" s="50" t="s">
        <v>55</v>
      </c>
      <c r="C7" s="24">
        <f>C6-C22-C40</f>
        <v>58083598377.40999</v>
      </c>
      <c r="D7" s="24">
        <f>D6-D22-D40</f>
        <v>58132209966.37001</v>
      </c>
      <c r="E7" s="36" t="s">
        <v>54</v>
      </c>
      <c r="F7" s="36" t="s">
        <v>54</v>
      </c>
      <c r="G7" s="36" t="s">
        <v>54</v>
      </c>
      <c r="H7" s="36" t="s">
        <v>54</v>
      </c>
      <c r="I7" s="36" t="s">
        <v>54</v>
      </c>
      <c r="J7" s="36" t="s">
        <v>54</v>
      </c>
      <c r="K7" s="31">
        <f t="shared" si="0"/>
        <v>43.09219024924455</v>
      </c>
      <c r="L7" s="31">
        <f t="shared" si="1"/>
        <v>100.08369245418329</v>
      </c>
      <c r="M7" s="31">
        <f aca="true" t="shared" si="2" ref="M7:M21">IF($D$7=0,"",100*$D7/$D$7)</f>
        <v>100</v>
      </c>
    </row>
    <row r="8" spans="2:13" ht="22.5" customHeight="1">
      <c r="B8" s="30" t="s">
        <v>29</v>
      </c>
      <c r="C8" s="23">
        <f>1008578055.36</f>
        <v>1008578055.36</v>
      </c>
      <c r="D8" s="23">
        <f>979922094.32</f>
        <v>979922094.32</v>
      </c>
      <c r="E8" s="36" t="s">
        <v>54</v>
      </c>
      <c r="F8" s="36" t="s">
        <v>54</v>
      </c>
      <c r="G8" s="36" t="s">
        <v>54</v>
      </c>
      <c r="H8" s="36" t="s">
        <v>54</v>
      </c>
      <c r="I8" s="36" t="s">
        <v>54</v>
      </c>
      <c r="J8" s="36" t="s">
        <v>54</v>
      </c>
      <c r="K8" s="32">
        <f t="shared" si="0"/>
        <v>0.7263957338333479</v>
      </c>
      <c r="L8" s="32">
        <f t="shared" si="1"/>
        <v>97.15877607214331</v>
      </c>
      <c r="M8" s="32">
        <f t="shared" si="2"/>
        <v>1.6856783784530014</v>
      </c>
    </row>
    <row r="9" spans="2:13" ht="22.5" customHeight="1">
      <c r="B9" s="30" t="s">
        <v>16</v>
      </c>
      <c r="C9" s="23">
        <f>22998480480.95</f>
        <v>22998480480.95</v>
      </c>
      <c r="D9" s="23">
        <f>23086136802.17</f>
        <v>23086136802.17</v>
      </c>
      <c r="E9" s="36" t="s">
        <v>54</v>
      </c>
      <c r="F9" s="36" t="s">
        <v>54</v>
      </c>
      <c r="G9" s="36" t="s">
        <v>54</v>
      </c>
      <c r="H9" s="36" t="s">
        <v>54</v>
      </c>
      <c r="I9" s="36" t="s">
        <v>54</v>
      </c>
      <c r="J9" s="36" t="s">
        <v>54</v>
      </c>
      <c r="K9" s="32">
        <f t="shared" si="0"/>
        <v>17.11326990277361</v>
      </c>
      <c r="L9" s="32">
        <f t="shared" si="1"/>
        <v>100.38113962047451</v>
      </c>
      <c r="M9" s="32">
        <f t="shared" si="2"/>
        <v>39.71315870414273</v>
      </c>
    </row>
    <row r="10" spans="2:13" ht="13.5" customHeight="1">
      <c r="B10" s="30" t="s">
        <v>17</v>
      </c>
      <c r="C10" s="23">
        <f>1536141776.72</f>
        <v>1536141776.72</v>
      </c>
      <c r="D10" s="23">
        <f>1531000036.98</f>
        <v>1531000036.98</v>
      </c>
      <c r="E10" s="36" t="s">
        <v>54</v>
      </c>
      <c r="F10" s="36" t="s">
        <v>54</v>
      </c>
      <c r="G10" s="36" t="s">
        <v>54</v>
      </c>
      <c r="H10" s="36" t="s">
        <v>54</v>
      </c>
      <c r="I10" s="36" t="s">
        <v>54</v>
      </c>
      <c r="J10" s="36" t="s">
        <v>54</v>
      </c>
      <c r="K10" s="32">
        <f t="shared" si="0"/>
        <v>1.1348982759009028</v>
      </c>
      <c r="L10" s="32">
        <f t="shared" si="1"/>
        <v>99.66528221431626</v>
      </c>
      <c r="M10" s="32">
        <f t="shared" si="2"/>
        <v>2.6336518736612575</v>
      </c>
    </row>
    <row r="11" spans="2:13" ht="13.5" customHeight="1">
      <c r="B11" s="30" t="s">
        <v>18</v>
      </c>
      <c r="C11" s="23">
        <f>14166917464.29</f>
        <v>14166917464.29</v>
      </c>
      <c r="D11" s="40">
        <f>14260835372.8</f>
        <v>14260835372.8</v>
      </c>
      <c r="E11" s="36" t="s">
        <v>54</v>
      </c>
      <c r="F11" s="36" t="s">
        <v>54</v>
      </c>
      <c r="G11" s="36" t="s">
        <v>54</v>
      </c>
      <c r="H11" s="36" t="s">
        <v>54</v>
      </c>
      <c r="I11" s="36" t="s">
        <v>54</v>
      </c>
      <c r="J11" s="36" t="s">
        <v>54</v>
      </c>
      <c r="K11" s="32">
        <f t="shared" si="0"/>
        <v>10.571258711020366</v>
      </c>
      <c r="L11" s="32">
        <f t="shared" si="1"/>
        <v>100.66293820618871</v>
      </c>
      <c r="M11" s="32">
        <f t="shared" si="2"/>
        <v>24.531727558697696</v>
      </c>
    </row>
    <row r="12" spans="2:13" ht="13.5" customHeight="1">
      <c r="B12" s="30" t="s">
        <v>19</v>
      </c>
      <c r="C12" s="23">
        <f>294461993.7</f>
        <v>294461993.7</v>
      </c>
      <c r="D12" s="40">
        <f>293060568.22</f>
        <v>293060568.22</v>
      </c>
      <c r="E12" s="36" t="s">
        <v>54</v>
      </c>
      <c r="F12" s="36" t="s">
        <v>54</v>
      </c>
      <c r="G12" s="36" t="s">
        <v>54</v>
      </c>
      <c r="H12" s="36" t="s">
        <v>54</v>
      </c>
      <c r="I12" s="36" t="s">
        <v>54</v>
      </c>
      <c r="J12" s="36" t="s">
        <v>54</v>
      </c>
      <c r="K12" s="32">
        <f t="shared" si="0"/>
        <v>0.2172396639933992</v>
      </c>
      <c r="L12" s="32">
        <f t="shared" si="1"/>
        <v>99.52407254247292</v>
      </c>
      <c r="M12" s="32">
        <f t="shared" si="2"/>
        <v>0.5041276916696237</v>
      </c>
    </row>
    <row r="13" spans="2:13" ht="22.5" customHeight="1">
      <c r="B13" s="30" t="s">
        <v>20</v>
      </c>
      <c r="C13" s="23">
        <f>818705568.44</f>
        <v>818705568.44</v>
      </c>
      <c r="D13" s="40">
        <f>817080450.66</f>
        <v>817080450.66</v>
      </c>
      <c r="E13" s="36" t="s">
        <v>54</v>
      </c>
      <c r="F13" s="36" t="s">
        <v>54</v>
      </c>
      <c r="G13" s="36" t="s">
        <v>54</v>
      </c>
      <c r="H13" s="36" t="s">
        <v>54</v>
      </c>
      <c r="I13" s="36" t="s">
        <v>54</v>
      </c>
      <c r="J13" s="36" t="s">
        <v>54</v>
      </c>
      <c r="K13" s="32">
        <f t="shared" si="0"/>
        <v>0.6056846324808288</v>
      </c>
      <c r="L13" s="32">
        <f t="shared" si="1"/>
        <v>99.8015015601889</v>
      </c>
      <c r="M13" s="32">
        <f t="shared" si="2"/>
        <v>1.4055554590694008</v>
      </c>
    </row>
    <row r="14" spans="2:13" ht="33" customHeight="1">
      <c r="B14" s="30" t="s">
        <v>40</v>
      </c>
      <c r="C14" s="23">
        <f>37979695.78</f>
        <v>37979695.78</v>
      </c>
      <c r="D14" s="40">
        <f>33528232.99</f>
        <v>33528232.99</v>
      </c>
      <c r="E14" s="36" t="s">
        <v>54</v>
      </c>
      <c r="F14" s="36" t="s">
        <v>54</v>
      </c>
      <c r="G14" s="36" t="s">
        <v>54</v>
      </c>
      <c r="H14" s="36" t="s">
        <v>54</v>
      </c>
      <c r="I14" s="36" t="s">
        <v>54</v>
      </c>
      <c r="J14" s="36" t="s">
        <v>54</v>
      </c>
      <c r="K14" s="32">
        <f t="shared" si="0"/>
        <v>0.02485377720134689</v>
      </c>
      <c r="L14" s="32">
        <f t="shared" si="1"/>
        <v>88.27936164685097</v>
      </c>
      <c r="M14" s="32">
        <f t="shared" si="2"/>
        <v>0.057675827238283864</v>
      </c>
    </row>
    <row r="15" spans="2:13" ht="22.5" customHeight="1">
      <c r="B15" s="30" t="s">
        <v>23</v>
      </c>
      <c r="C15" s="23">
        <f>125996276.21</f>
        <v>125996276.21</v>
      </c>
      <c r="D15" s="40">
        <f>136118411.03</f>
        <v>136118411.03</v>
      </c>
      <c r="E15" s="36" t="s">
        <v>54</v>
      </c>
      <c r="F15" s="36" t="s">
        <v>54</v>
      </c>
      <c r="G15" s="36" t="s">
        <v>54</v>
      </c>
      <c r="H15" s="36" t="s">
        <v>54</v>
      </c>
      <c r="I15" s="36" t="s">
        <v>54</v>
      </c>
      <c r="J15" s="36" t="s">
        <v>54</v>
      </c>
      <c r="K15" s="32">
        <f t="shared" si="0"/>
        <v>0.1009017284552394</v>
      </c>
      <c r="L15" s="32">
        <f t="shared" si="1"/>
        <v>108.03367775975322</v>
      </c>
      <c r="M15" s="32">
        <f t="shared" si="2"/>
        <v>0.2341531675963217</v>
      </c>
    </row>
    <row r="16" spans="2:13" ht="22.5" customHeight="1">
      <c r="B16" s="30" t="s">
        <v>24</v>
      </c>
      <c r="C16" s="23">
        <f>1131808225.31</f>
        <v>1131808225.31</v>
      </c>
      <c r="D16" s="40">
        <f>1225378476.24</f>
        <v>1225378476.24</v>
      </c>
      <c r="E16" s="36" t="s">
        <v>54</v>
      </c>
      <c r="F16" s="36" t="s">
        <v>54</v>
      </c>
      <c r="G16" s="36" t="s">
        <v>54</v>
      </c>
      <c r="H16" s="36" t="s">
        <v>54</v>
      </c>
      <c r="I16" s="36" t="s">
        <v>54</v>
      </c>
      <c r="J16" s="36" t="s">
        <v>54</v>
      </c>
      <c r="K16" s="32">
        <f t="shared" si="0"/>
        <v>0.9083474111170243</v>
      </c>
      <c r="L16" s="32">
        <f t="shared" si="1"/>
        <v>108.26732381312844</v>
      </c>
      <c r="M16" s="32">
        <f t="shared" si="2"/>
        <v>2.1079165525427164</v>
      </c>
    </row>
    <row r="17" spans="2:13" ht="13.5" customHeight="1">
      <c r="B17" s="30" t="s">
        <v>25</v>
      </c>
      <c r="C17" s="23">
        <f>175307628.69</f>
        <v>175307628.69</v>
      </c>
      <c r="D17" s="40">
        <f>179371149.76</f>
        <v>179371149.76</v>
      </c>
      <c r="E17" s="36" t="s">
        <v>54</v>
      </c>
      <c r="F17" s="36" t="s">
        <v>54</v>
      </c>
      <c r="G17" s="36" t="s">
        <v>54</v>
      </c>
      <c r="H17" s="36" t="s">
        <v>54</v>
      </c>
      <c r="I17" s="36" t="s">
        <v>54</v>
      </c>
      <c r="J17" s="36" t="s">
        <v>54</v>
      </c>
      <c r="K17" s="32">
        <f t="shared" si="0"/>
        <v>0.1329640781789517</v>
      </c>
      <c r="L17" s="32">
        <f t="shared" si="1"/>
        <v>102.31793738832987</v>
      </c>
      <c r="M17" s="32">
        <f t="shared" si="2"/>
        <v>0.30855725227678044</v>
      </c>
    </row>
    <row r="18" spans="2:13" ht="22.5" customHeight="1">
      <c r="B18" s="30" t="s">
        <v>26</v>
      </c>
      <c r="C18" s="23">
        <f>388677231.64</f>
        <v>388677231.64</v>
      </c>
      <c r="D18" s="40">
        <f>382942172.21</f>
        <v>382942172.21</v>
      </c>
      <c r="E18" s="36" t="s">
        <v>54</v>
      </c>
      <c r="F18" s="36" t="s">
        <v>54</v>
      </c>
      <c r="G18" s="36" t="s">
        <v>54</v>
      </c>
      <c r="H18" s="36" t="s">
        <v>54</v>
      </c>
      <c r="I18" s="36" t="s">
        <v>54</v>
      </c>
      <c r="J18" s="36" t="s">
        <v>54</v>
      </c>
      <c r="K18" s="32">
        <f t="shared" si="0"/>
        <v>0.2838670153582452</v>
      </c>
      <c r="L18" s="32">
        <f t="shared" si="1"/>
        <v>98.52446735668018</v>
      </c>
      <c r="M18" s="32">
        <f t="shared" si="2"/>
        <v>0.6587435303621442</v>
      </c>
    </row>
    <row r="19" spans="2:13" ht="13.5" customHeight="1">
      <c r="B19" s="30" t="s">
        <v>27</v>
      </c>
      <c r="C19" s="23">
        <f>121093620.96</f>
        <v>121093620.96</v>
      </c>
      <c r="D19" s="40">
        <f>117623766.56</f>
        <v>117623766.56</v>
      </c>
      <c r="E19" s="36" t="s">
        <v>54</v>
      </c>
      <c r="F19" s="36" t="s">
        <v>54</v>
      </c>
      <c r="G19" s="36" t="s">
        <v>54</v>
      </c>
      <c r="H19" s="36" t="s">
        <v>54</v>
      </c>
      <c r="I19" s="36" t="s">
        <v>54</v>
      </c>
      <c r="J19" s="36" t="s">
        <v>54</v>
      </c>
      <c r="K19" s="32">
        <f t="shared" si="0"/>
        <v>0.08719203569533167</v>
      </c>
      <c r="L19" s="32">
        <f t="shared" si="1"/>
        <v>97.13456879685994</v>
      </c>
      <c r="M19" s="32">
        <f t="shared" si="2"/>
        <v>0.20233837080690098</v>
      </c>
    </row>
    <row r="20" spans="2:13" ht="13.5" customHeight="1">
      <c r="B20" s="30" t="s">
        <v>21</v>
      </c>
      <c r="C20" s="23">
        <f>3415194082.7</f>
        <v>3415194082.7</v>
      </c>
      <c r="D20" s="40">
        <f>3164937565.86</f>
        <v>3164937565.86</v>
      </c>
      <c r="E20" s="36" t="s">
        <v>54</v>
      </c>
      <c r="F20" s="36" t="s">
        <v>54</v>
      </c>
      <c r="G20" s="36" t="s">
        <v>54</v>
      </c>
      <c r="H20" s="36" t="s">
        <v>54</v>
      </c>
      <c r="I20" s="36" t="s">
        <v>54</v>
      </c>
      <c r="J20" s="36" t="s">
        <v>54</v>
      </c>
      <c r="K20" s="32">
        <f t="shared" si="0"/>
        <v>2.3461019595490944</v>
      </c>
      <c r="L20" s="32">
        <f t="shared" si="1"/>
        <v>92.67226076234734</v>
      </c>
      <c r="M20" s="32">
        <f t="shared" si="2"/>
        <v>5.444378542792273</v>
      </c>
    </row>
    <row r="21" spans="2:13" ht="13.5" customHeight="1">
      <c r="B21" s="30" t="s">
        <v>22</v>
      </c>
      <c r="C21" s="23">
        <f>C7-C8-C9-C10-C11-C12-C13-C14-C15-C16-C17-C18-C19-C20</f>
        <v>11864256276.659988</v>
      </c>
      <c r="D21" s="23">
        <f>D7-D8-D9-D10-D11-D12-D13-D14-D15-D16-D17-D18-D19-D20</f>
        <v>11924274866.570013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2">
        <f t="shared" si="0"/>
        <v>8.839215323686867</v>
      </c>
      <c r="L21" s="32">
        <f t="shared" si="1"/>
        <v>100.50587738928141</v>
      </c>
      <c r="M21" s="32">
        <f t="shared" si="2"/>
        <v>20.512337090690874</v>
      </c>
    </row>
    <row r="22" spans="2:13" ht="26.25" customHeight="1">
      <c r="B22" s="50" t="s">
        <v>61</v>
      </c>
      <c r="C22" s="37">
        <f>C23+C36+C38</f>
        <v>48706173851.020004</v>
      </c>
      <c r="D22" s="37">
        <f>D23+D36+D38</f>
        <v>46306796904.509995</v>
      </c>
      <c r="E22" s="36" t="s">
        <v>54</v>
      </c>
      <c r="F22" s="36" t="s">
        <v>54</v>
      </c>
      <c r="G22" s="36" t="s">
        <v>54</v>
      </c>
      <c r="H22" s="36" t="s">
        <v>54</v>
      </c>
      <c r="I22" s="36" t="s">
        <v>54</v>
      </c>
      <c r="J22" s="36" t="s">
        <v>54</v>
      </c>
      <c r="K22" s="38">
        <f t="shared" si="0"/>
        <v>34.32625911171561</v>
      </c>
      <c r="L22" s="38">
        <f t="shared" si="1"/>
        <v>95.07377246702008</v>
      </c>
      <c r="M22" s="27"/>
    </row>
    <row r="23" spans="2:13" ht="25.5" customHeight="1">
      <c r="B23" s="50" t="s">
        <v>56</v>
      </c>
      <c r="C23" s="37">
        <f>C24+C26+C28+C30+C32+C34</f>
        <v>40239624620.97</v>
      </c>
      <c r="D23" s="37">
        <f>D24+D26+D28+D30+D32+D34</f>
        <v>39783473896.94999</v>
      </c>
      <c r="E23" s="36" t="s">
        <v>54</v>
      </c>
      <c r="F23" s="36" t="s">
        <v>54</v>
      </c>
      <c r="G23" s="36" t="s">
        <v>54</v>
      </c>
      <c r="H23" s="36" t="s">
        <v>54</v>
      </c>
      <c r="I23" s="36" t="s">
        <v>54</v>
      </c>
      <c r="J23" s="36" t="s">
        <v>54</v>
      </c>
      <c r="K23" s="38">
        <f t="shared" si="0"/>
        <v>29.490656332091866</v>
      </c>
      <c r="L23" s="38">
        <f t="shared" si="1"/>
        <v>98.86641406743567</v>
      </c>
      <c r="M23" s="27"/>
    </row>
    <row r="24" spans="2:13" ht="22.5" customHeight="1">
      <c r="B24" s="30" t="s">
        <v>8</v>
      </c>
      <c r="C24" s="23">
        <f>34997566624.23</f>
        <v>34997566624.23</v>
      </c>
      <c r="D24" s="23">
        <f>34752484357.84</f>
        <v>34752484357.84</v>
      </c>
      <c r="E24" s="36" t="s">
        <v>54</v>
      </c>
      <c r="F24" s="23" t="s">
        <v>54</v>
      </c>
      <c r="G24" s="23" t="s">
        <v>54</v>
      </c>
      <c r="H24" s="23" t="s">
        <v>54</v>
      </c>
      <c r="I24" s="23" t="s">
        <v>54</v>
      </c>
      <c r="J24" s="23" t="s">
        <v>54</v>
      </c>
      <c r="K24" s="32">
        <f t="shared" si="0"/>
        <v>25.761289110603027</v>
      </c>
      <c r="L24" s="32">
        <f t="shared" si="1"/>
        <v>99.29971626592939</v>
      </c>
      <c r="M24" s="27"/>
    </row>
    <row r="25" spans="2:13" ht="13.5" customHeight="1">
      <c r="B25" s="41" t="s">
        <v>5</v>
      </c>
      <c r="C25" s="23">
        <f>17871251.02</f>
        <v>17871251.02</v>
      </c>
      <c r="D25" s="23">
        <f>17574601.34</f>
        <v>17574601.34</v>
      </c>
      <c r="E25" s="36" t="s">
        <v>54</v>
      </c>
      <c r="F25" s="23" t="s">
        <v>54</v>
      </c>
      <c r="G25" s="23" t="s">
        <v>54</v>
      </c>
      <c r="H25" s="23" t="s">
        <v>54</v>
      </c>
      <c r="I25" s="23" t="s">
        <v>54</v>
      </c>
      <c r="J25" s="23" t="s">
        <v>54</v>
      </c>
      <c r="K25" s="32">
        <f t="shared" si="0"/>
        <v>0.013027684048757636</v>
      </c>
      <c r="L25" s="32">
        <f t="shared" si="1"/>
        <v>98.34007322896414</v>
      </c>
      <c r="M25" s="27"/>
    </row>
    <row r="26" spans="2:13" ht="13.5" customHeight="1">
      <c r="B26" s="30" t="s">
        <v>6</v>
      </c>
      <c r="C26" s="23">
        <f>4010594492.85</f>
        <v>4010594492.85</v>
      </c>
      <c r="D26" s="23">
        <f>3867207272.52</f>
        <v>3867207272.52</v>
      </c>
      <c r="E26" s="36" t="s">
        <v>54</v>
      </c>
      <c r="F26" s="23" t="s">
        <v>54</v>
      </c>
      <c r="G26" s="23" t="s">
        <v>54</v>
      </c>
      <c r="H26" s="23" t="s">
        <v>54</v>
      </c>
      <c r="I26" s="23" t="s">
        <v>54</v>
      </c>
      <c r="J26" s="23" t="s">
        <v>54</v>
      </c>
      <c r="K26" s="32">
        <f t="shared" si="0"/>
        <v>2.8666797910676434</v>
      </c>
      <c r="L26" s="32">
        <f t="shared" si="1"/>
        <v>96.4247888789149</v>
      </c>
      <c r="M26" s="27"/>
    </row>
    <row r="27" spans="2:13" ht="13.5" customHeight="1">
      <c r="B27" s="41" t="s">
        <v>5</v>
      </c>
      <c r="C27" s="23">
        <f>606084752.67</f>
        <v>606084752.67</v>
      </c>
      <c r="D27" s="23">
        <f>544969614.86</f>
        <v>544969614.86</v>
      </c>
      <c r="E27" s="36" t="s">
        <v>54</v>
      </c>
      <c r="F27" s="23" t="s">
        <v>54</v>
      </c>
      <c r="G27" s="23" t="s">
        <v>54</v>
      </c>
      <c r="H27" s="23" t="s">
        <v>54</v>
      </c>
      <c r="I27" s="23" t="s">
        <v>54</v>
      </c>
      <c r="J27" s="23" t="s">
        <v>54</v>
      </c>
      <c r="K27" s="32">
        <f t="shared" si="0"/>
        <v>0.4039745665473635</v>
      </c>
      <c r="L27" s="32">
        <f t="shared" si="1"/>
        <v>89.9164040110285</v>
      </c>
      <c r="M27" s="27"/>
    </row>
    <row r="28" spans="2:13" ht="33" customHeight="1">
      <c r="B28" s="30" t="s">
        <v>9</v>
      </c>
      <c r="C28" s="23">
        <f>31715538.36</f>
        <v>31715538.36</v>
      </c>
      <c r="D28" s="23">
        <f>28996104.75</f>
        <v>28996104.75</v>
      </c>
      <c r="E28" s="36" t="s">
        <v>54</v>
      </c>
      <c r="F28" s="23" t="s">
        <v>54</v>
      </c>
      <c r="G28" s="23" t="s">
        <v>54</v>
      </c>
      <c r="H28" s="23" t="s">
        <v>54</v>
      </c>
      <c r="I28" s="23" t="s">
        <v>54</v>
      </c>
      <c r="J28" s="23" t="s">
        <v>54</v>
      </c>
      <c r="K28" s="32">
        <f t="shared" si="0"/>
        <v>0.02149420541721833</v>
      </c>
      <c r="L28" s="32">
        <f t="shared" si="1"/>
        <v>91.42554801015208</v>
      </c>
      <c r="M28" s="27"/>
    </row>
    <row r="29" spans="2:13" ht="13.5" customHeight="1">
      <c r="B29" s="41" t="s">
        <v>5</v>
      </c>
      <c r="C29" s="23">
        <f>10888304.35</f>
        <v>10888304.35</v>
      </c>
      <c r="D29" s="23">
        <f>8987974.81</f>
        <v>8987974.81</v>
      </c>
      <c r="E29" s="36" t="s">
        <v>54</v>
      </c>
      <c r="F29" s="23" t="s">
        <v>54</v>
      </c>
      <c r="G29" s="23" t="s">
        <v>54</v>
      </c>
      <c r="H29" s="23" t="s">
        <v>54</v>
      </c>
      <c r="I29" s="23" t="s">
        <v>54</v>
      </c>
      <c r="J29" s="23" t="s">
        <v>54</v>
      </c>
      <c r="K29" s="32">
        <f t="shared" si="0"/>
        <v>0.006662597563244211</v>
      </c>
      <c r="L29" s="32">
        <f t="shared" si="1"/>
        <v>82.54705710903461</v>
      </c>
      <c r="M29" s="27"/>
    </row>
    <row r="30" spans="2:13" ht="33.75">
      <c r="B30" s="30" t="s">
        <v>10</v>
      </c>
      <c r="C30" s="23">
        <f>601825350.17</f>
        <v>601825350.17</v>
      </c>
      <c r="D30" s="23">
        <f>568525124.62</f>
        <v>568525124.62</v>
      </c>
      <c r="E30" s="36" t="s">
        <v>54</v>
      </c>
      <c r="F30" s="23" t="s">
        <v>54</v>
      </c>
      <c r="G30" s="23" t="s">
        <v>54</v>
      </c>
      <c r="H30" s="23" t="s">
        <v>54</v>
      </c>
      <c r="I30" s="23" t="s">
        <v>54</v>
      </c>
      <c r="J30" s="23" t="s">
        <v>54</v>
      </c>
      <c r="K30" s="32">
        <f t="shared" si="0"/>
        <v>0.4214357727974455</v>
      </c>
      <c r="L30" s="32">
        <f t="shared" si="1"/>
        <v>94.46679580037738</v>
      </c>
      <c r="M30" s="27"/>
    </row>
    <row r="31" spans="2:13" ht="12.75">
      <c r="B31" s="41" t="s">
        <v>5</v>
      </c>
      <c r="C31" s="23">
        <f>291820157.88</f>
        <v>291820157.88</v>
      </c>
      <c r="D31" s="23">
        <f>254205825.5</f>
        <v>254205825.5</v>
      </c>
      <c r="E31" s="36" t="s">
        <v>54</v>
      </c>
      <c r="F31" s="23" t="s">
        <v>54</v>
      </c>
      <c r="G31" s="23" t="s">
        <v>54</v>
      </c>
      <c r="H31" s="23" t="s">
        <v>54</v>
      </c>
      <c r="I31" s="23" t="s">
        <v>54</v>
      </c>
      <c r="J31" s="23" t="s">
        <v>54</v>
      </c>
      <c r="K31" s="32">
        <f t="shared" si="0"/>
        <v>0.188437456639777</v>
      </c>
      <c r="L31" s="32">
        <f t="shared" si="1"/>
        <v>87.1104406723447</v>
      </c>
      <c r="M31" s="27"/>
    </row>
    <row r="32" spans="2:13" ht="45">
      <c r="B32" s="30" t="s">
        <v>71</v>
      </c>
      <c r="C32" s="23">
        <f>299627892.54</f>
        <v>299627892.54</v>
      </c>
      <c r="D32" s="23">
        <f>283851248.77</f>
        <v>283851248.77</v>
      </c>
      <c r="E32" s="36" t="s">
        <v>54</v>
      </c>
      <c r="F32" s="23" t="s">
        <v>54</v>
      </c>
      <c r="G32" s="23" t="s">
        <v>54</v>
      </c>
      <c r="H32" s="23" t="s">
        <v>54</v>
      </c>
      <c r="I32" s="23" t="s">
        <v>54</v>
      </c>
      <c r="J32" s="23" t="s">
        <v>54</v>
      </c>
      <c r="K32" s="32">
        <f t="shared" si="0"/>
        <v>0.21041298828237687</v>
      </c>
      <c r="L32" s="32">
        <f t="shared" si="1"/>
        <v>94.73458774606779</v>
      </c>
      <c r="M32" s="27"/>
    </row>
    <row r="33" spans="2:13" ht="12.75">
      <c r="B33" s="41" t="s">
        <v>5</v>
      </c>
      <c r="C33" s="23">
        <f>239740336.12</f>
        <v>239740336.12</v>
      </c>
      <c r="D33" s="23">
        <f>224048165.66</f>
        <v>224048165.66</v>
      </c>
      <c r="E33" s="36" t="s">
        <v>54</v>
      </c>
      <c r="F33" s="23" t="s">
        <v>54</v>
      </c>
      <c r="G33" s="23" t="s">
        <v>54</v>
      </c>
      <c r="H33" s="23" t="s">
        <v>54</v>
      </c>
      <c r="I33" s="23" t="s">
        <v>54</v>
      </c>
      <c r="J33" s="23" t="s">
        <v>54</v>
      </c>
      <c r="K33" s="32">
        <f t="shared" si="0"/>
        <v>0.1660822147515177</v>
      </c>
      <c r="L33" s="32">
        <f t="shared" si="1"/>
        <v>93.45451386530742</v>
      </c>
      <c r="M33" s="27"/>
    </row>
    <row r="34" spans="2:13" ht="22.5">
      <c r="B34" s="30" t="s">
        <v>7</v>
      </c>
      <c r="C34" s="23">
        <f>298294722.82</f>
        <v>298294722.82</v>
      </c>
      <c r="D34" s="23">
        <f>282409788.45</f>
        <v>282409788.45</v>
      </c>
      <c r="E34" s="36" t="s">
        <v>54</v>
      </c>
      <c r="F34" s="23" t="s">
        <v>54</v>
      </c>
      <c r="G34" s="23" t="s">
        <v>54</v>
      </c>
      <c r="H34" s="23" t="s">
        <v>54</v>
      </c>
      <c r="I34" s="23" t="s">
        <v>54</v>
      </c>
      <c r="J34" s="23" t="s">
        <v>54</v>
      </c>
      <c r="K34" s="32">
        <f t="shared" si="0"/>
        <v>0.2093444639241577</v>
      </c>
      <c r="L34" s="32">
        <f t="shared" si="1"/>
        <v>94.67475179586552</v>
      </c>
      <c r="M34" s="27"/>
    </row>
    <row r="35" spans="2:13" ht="12.75">
      <c r="B35" s="29" t="s">
        <v>5</v>
      </c>
      <c r="C35" s="21">
        <f>267031164.77</f>
        <v>267031164.77</v>
      </c>
      <c r="D35" s="21">
        <f>253343585.78</f>
        <v>253343585.78</v>
      </c>
      <c r="E35" s="36" t="s">
        <v>54</v>
      </c>
      <c r="F35" s="23" t="s">
        <v>54</v>
      </c>
      <c r="G35" s="23" t="s">
        <v>54</v>
      </c>
      <c r="H35" s="23" t="s">
        <v>54</v>
      </c>
      <c r="I35" s="23" t="s">
        <v>54</v>
      </c>
      <c r="J35" s="23" t="s">
        <v>54</v>
      </c>
      <c r="K35" s="32">
        <f t="shared" si="0"/>
        <v>0.18779829638634454</v>
      </c>
      <c r="L35" s="32">
        <f t="shared" si="1"/>
        <v>94.87416421907554</v>
      </c>
      <c r="M35" s="27"/>
    </row>
    <row r="36" spans="2:13" ht="12.75">
      <c r="B36" s="50" t="s">
        <v>73</v>
      </c>
      <c r="C36" s="37">
        <f>1293207606.22</f>
        <v>1293207606.22</v>
      </c>
      <c r="D36" s="37">
        <f>970215843.54</f>
        <v>970215843.54</v>
      </c>
      <c r="E36" s="36" t="s">
        <v>54</v>
      </c>
      <c r="F36" s="36" t="s">
        <v>54</v>
      </c>
      <c r="G36" s="36" t="s">
        <v>54</v>
      </c>
      <c r="H36" s="36" t="s">
        <v>54</v>
      </c>
      <c r="I36" s="36" t="s">
        <v>54</v>
      </c>
      <c r="J36" s="36" t="s">
        <v>54</v>
      </c>
      <c r="K36" s="38">
        <f t="shared" si="0"/>
        <v>0.7192006933306626</v>
      </c>
      <c r="L36" s="38">
        <f t="shared" si="1"/>
        <v>75.02398214126706</v>
      </c>
      <c r="M36" s="27"/>
    </row>
    <row r="37" spans="2:13" ht="13.5" customHeight="1">
      <c r="B37" s="29" t="s">
        <v>74</v>
      </c>
      <c r="C37" s="21">
        <f>1119086530.82</f>
        <v>1119086530.82</v>
      </c>
      <c r="D37" s="21">
        <f>822014290.49</f>
        <v>822014290.49</v>
      </c>
      <c r="E37" s="36" t="s">
        <v>54</v>
      </c>
      <c r="F37" s="23" t="s">
        <v>54</v>
      </c>
      <c r="G37" s="23" t="s">
        <v>54</v>
      </c>
      <c r="H37" s="23" t="s">
        <v>54</v>
      </c>
      <c r="I37" s="23" t="s">
        <v>54</v>
      </c>
      <c r="J37" s="23" t="s">
        <v>54</v>
      </c>
      <c r="K37" s="32">
        <f t="shared" si="0"/>
        <v>0.6093419846567854</v>
      </c>
      <c r="L37" s="32">
        <f t="shared" si="1"/>
        <v>73.45404201118183</v>
      </c>
      <c r="M37" s="27"/>
    </row>
    <row r="38" spans="2:13" ht="13.5" customHeight="1">
      <c r="B38" s="50" t="s">
        <v>75</v>
      </c>
      <c r="C38" s="36">
        <f>7173341623.83</f>
        <v>7173341623.83</v>
      </c>
      <c r="D38" s="36">
        <f>5553107164.02</f>
        <v>5553107164.02</v>
      </c>
      <c r="E38" s="36" t="s">
        <v>54</v>
      </c>
      <c r="F38" s="36" t="s">
        <v>54</v>
      </c>
      <c r="G38" s="36" t="s">
        <v>54</v>
      </c>
      <c r="H38" s="36" t="s">
        <v>54</v>
      </c>
      <c r="I38" s="36" t="s">
        <v>54</v>
      </c>
      <c r="J38" s="36" t="s">
        <v>54</v>
      </c>
      <c r="K38" s="42">
        <f t="shared" si="0"/>
        <v>4.1164020862930775</v>
      </c>
      <c r="L38" s="42">
        <f t="shared" si="1"/>
        <v>77.41311449007887</v>
      </c>
      <c r="M38" s="27"/>
    </row>
    <row r="39" spans="2:13" ht="13.5" customHeight="1">
      <c r="B39" s="29" t="s">
        <v>76</v>
      </c>
      <c r="C39" s="21">
        <f>6349651878.55</f>
        <v>6349651878.55</v>
      </c>
      <c r="D39" s="21">
        <f>4835626298.02</f>
        <v>4835626298.02</v>
      </c>
      <c r="E39" s="36" t="s">
        <v>54</v>
      </c>
      <c r="F39" s="23" t="s">
        <v>54</v>
      </c>
      <c r="G39" s="23" t="s">
        <v>54</v>
      </c>
      <c r="H39" s="23" t="s">
        <v>54</v>
      </c>
      <c r="I39" s="23" t="s">
        <v>54</v>
      </c>
      <c r="J39" s="23" t="s">
        <v>54</v>
      </c>
      <c r="K39" s="32">
        <f t="shared" si="0"/>
        <v>3.5845485408016713</v>
      </c>
      <c r="L39" s="32">
        <f t="shared" si="1"/>
        <v>76.1557702770354</v>
      </c>
      <c r="M39" s="27"/>
    </row>
    <row r="40" spans="2:13" s="5" customFormat="1" ht="25.5" customHeight="1">
      <c r="B40" s="50" t="s">
        <v>57</v>
      </c>
      <c r="C40" s="24">
        <f>C41+C42+C43+C44+C45</f>
        <v>30417149694.24</v>
      </c>
      <c r="D40" s="24">
        <f>D41+D42+D43+D44+D45</f>
        <v>30462954784.2</v>
      </c>
      <c r="E40" s="36" t="s">
        <v>54</v>
      </c>
      <c r="F40" s="22" t="s">
        <v>54</v>
      </c>
      <c r="G40" s="22" t="s">
        <v>54</v>
      </c>
      <c r="H40" s="22" t="s">
        <v>54</v>
      </c>
      <c r="I40" s="22" t="s">
        <v>54</v>
      </c>
      <c r="J40" s="22" t="s">
        <v>54</v>
      </c>
      <c r="K40" s="31">
        <f t="shared" si="0"/>
        <v>22.58155063903984</v>
      </c>
      <c r="L40" s="31">
        <f t="shared" si="1"/>
        <v>100.15058968516261</v>
      </c>
      <c r="M40" s="28"/>
    </row>
    <row r="41" spans="2:13" ht="13.5" customHeight="1">
      <c r="B41" s="19" t="s">
        <v>44</v>
      </c>
      <c r="C41" s="21">
        <f>7956412390</f>
        <v>7956412390</v>
      </c>
      <c r="D41" s="21">
        <f>7944783643</f>
        <v>7944783643</v>
      </c>
      <c r="E41" s="36" t="s">
        <v>54</v>
      </c>
      <c r="F41" s="23" t="s">
        <v>54</v>
      </c>
      <c r="G41" s="23" t="s">
        <v>54</v>
      </c>
      <c r="H41" s="23" t="s">
        <v>54</v>
      </c>
      <c r="I41" s="23" t="s">
        <v>54</v>
      </c>
      <c r="J41" s="23" t="s">
        <v>54</v>
      </c>
      <c r="K41" s="32">
        <f t="shared" si="0"/>
        <v>5.889301790372315</v>
      </c>
      <c r="L41" s="32">
        <f t="shared" si="1"/>
        <v>99.85384434051439</v>
      </c>
      <c r="M41" s="27"/>
    </row>
    <row r="42" spans="2:13" ht="13.5" customHeight="1">
      <c r="B42" s="30" t="s">
        <v>43</v>
      </c>
      <c r="C42" s="23">
        <f>21980408244.24</f>
        <v>21980408244.24</v>
      </c>
      <c r="D42" s="23">
        <f>22018155801.2</f>
        <v>22018155801.2</v>
      </c>
      <c r="E42" s="36" t="s">
        <v>54</v>
      </c>
      <c r="F42" s="23" t="s">
        <v>54</v>
      </c>
      <c r="G42" s="23" t="s">
        <v>54</v>
      </c>
      <c r="H42" s="23" t="s">
        <v>54</v>
      </c>
      <c r="I42" s="23" t="s">
        <v>54</v>
      </c>
      <c r="J42" s="23" t="s">
        <v>54</v>
      </c>
      <c r="K42" s="32">
        <f t="shared" si="0"/>
        <v>16.321597944955357</v>
      </c>
      <c r="L42" s="32">
        <f t="shared" si="1"/>
        <v>100.17173273826654</v>
      </c>
      <c r="M42" s="27"/>
    </row>
    <row r="43" spans="2:13" ht="13.5" customHeight="1">
      <c r="B43" s="30" t="s">
        <v>42</v>
      </c>
      <c r="C43" s="23">
        <f>95943</f>
        <v>95943</v>
      </c>
      <c r="D43" s="23">
        <f>102070</f>
        <v>102070</v>
      </c>
      <c r="E43" s="36" t="s">
        <v>54</v>
      </c>
      <c r="F43" s="23" t="s">
        <v>54</v>
      </c>
      <c r="G43" s="23" t="s">
        <v>54</v>
      </c>
      <c r="H43" s="23" t="s">
        <v>54</v>
      </c>
      <c r="I43" s="23" t="s">
        <v>54</v>
      </c>
      <c r="J43" s="23" t="s">
        <v>54</v>
      </c>
      <c r="K43" s="32">
        <f t="shared" si="0"/>
        <v>7.56623541627768E-05</v>
      </c>
      <c r="L43" s="32">
        <f t="shared" si="1"/>
        <v>106.3860834036876</v>
      </c>
      <c r="M43" s="27"/>
    </row>
    <row r="44" spans="2:13" ht="13.5" customHeight="1">
      <c r="B44" s="30" t="s">
        <v>41</v>
      </c>
      <c r="C44" s="23">
        <f>335296202</f>
        <v>335296202</v>
      </c>
      <c r="D44" s="23">
        <f>334544024</f>
        <v>334544024</v>
      </c>
      <c r="E44" s="36" t="s">
        <v>54</v>
      </c>
      <c r="F44" s="23" t="s">
        <v>54</v>
      </c>
      <c r="G44" s="23" t="s">
        <v>54</v>
      </c>
      <c r="H44" s="23" t="s">
        <v>54</v>
      </c>
      <c r="I44" s="23" t="s">
        <v>54</v>
      </c>
      <c r="J44" s="23" t="s">
        <v>54</v>
      </c>
      <c r="K44" s="32">
        <f t="shared" si="0"/>
        <v>0.24799048130624576</v>
      </c>
      <c r="L44" s="32">
        <f t="shared" si="1"/>
        <v>99.77566760508668</v>
      </c>
      <c r="M44" s="27"/>
    </row>
    <row r="45" spans="2:13" s="5" customFormat="1" ht="22.5" customHeight="1">
      <c r="B45" s="30" t="s">
        <v>39</v>
      </c>
      <c r="C45" s="23">
        <f>144936915</f>
        <v>144936915</v>
      </c>
      <c r="D45" s="23">
        <f>165369246</f>
        <v>165369246</v>
      </c>
      <c r="E45" s="36" t="s">
        <v>54</v>
      </c>
      <c r="F45" s="23" t="s">
        <v>54</v>
      </c>
      <c r="G45" s="23" t="s">
        <v>54</v>
      </c>
      <c r="H45" s="23" t="s">
        <v>54</v>
      </c>
      <c r="I45" s="23" t="s">
        <v>54</v>
      </c>
      <c r="J45" s="23" t="s">
        <v>54</v>
      </c>
      <c r="K45" s="32">
        <f t="shared" si="0"/>
        <v>0.12258476005176215</v>
      </c>
      <c r="L45" s="32">
        <f t="shared" si="1"/>
        <v>114.0973960981576</v>
      </c>
      <c r="M45" s="28"/>
    </row>
    <row r="46" spans="1:13" s="5" customFormat="1" ht="9" customHeight="1">
      <c r="A46" s="2"/>
      <c r="B46" s="20"/>
      <c r="C46" s="7"/>
      <c r="D46" s="8"/>
      <c r="E46" s="8"/>
      <c r="F46" s="15"/>
      <c r="G46" s="15"/>
      <c r="H46" s="15"/>
      <c r="I46" s="15"/>
      <c r="J46" s="15"/>
      <c r="K46" s="9"/>
      <c r="L46" s="9"/>
      <c r="M46" s="3"/>
    </row>
    <row r="47" spans="1:13" s="5" customFormat="1" ht="13.5" customHeight="1">
      <c r="A47" s="2"/>
      <c r="B47" s="50" t="s">
        <v>4</v>
      </c>
      <c r="C47" s="36">
        <f aca="true" t="shared" si="3" ref="C47:J47">+C6</f>
        <v>137206921922.67</v>
      </c>
      <c r="D47" s="36">
        <f t="shared" si="3"/>
        <v>134901961655.08</v>
      </c>
      <c r="E47" s="36" t="str">
        <f t="shared" si="3"/>
        <v>#</v>
      </c>
      <c r="F47" s="36" t="str">
        <f t="shared" si="3"/>
        <v>#</v>
      </c>
      <c r="G47" s="36" t="str">
        <f t="shared" si="3"/>
        <v>#</v>
      </c>
      <c r="H47" s="36" t="str">
        <f t="shared" si="3"/>
        <v>#</v>
      </c>
      <c r="I47" s="36" t="str">
        <f t="shared" si="3"/>
        <v>#</v>
      </c>
      <c r="J47" s="36" t="str">
        <f t="shared" si="3"/>
        <v>#</v>
      </c>
      <c r="K47" s="43">
        <f t="shared" si="0"/>
        <v>100</v>
      </c>
      <c r="L47" s="43">
        <f>IF(C47=0,"",100*D47/C47)</f>
        <v>98.32008455893423</v>
      </c>
      <c r="M47" s="43"/>
    </row>
    <row r="48" spans="1:13" s="5" customFormat="1" ht="13.5" customHeight="1">
      <c r="A48" s="2"/>
      <c r="B48" s="51" t="s">
        <v>63</v>
      </c>
      <c r="C48" s="23">
        <f>13266725801.51</f>
        <v>13266725801.51</v>
      </c>
      <c r="D48" s="23">
        <f>11309956533</f>
        <v>11309956533</v>
      </c>
      <c r="E48" s="36" t="s">
        <v>54</v>
      </c>
      <c r="F48" s="36" t="s">
        <v>54</v>
      </c>
      <c r="G48" s="36" t="s">
        <v>54</v>
      </c>
      <c r="H48" s="36" t="s">
        <v>54</v>
      </c>
      <c r="I48" s="36" t="s">
        <v>54</v>
      </c>
      <c r="J48" s="36" t="s">
        <v>54</v>
      </c>
      <c r="K48" s="35">
        <f t="shared" si="0"/>
        <v>8.383834003776402</v>
      </c>
      <c r="L48" s="35">
        <f>IF(C48=0,"",100*D48/C48)</f>
        <v>85.25054864488656</v>
      </c>
      <c r="M48" s="35"/>
    </row>
    <row r="49" spans="1:13" s="5" customFormat="1" ht="13.5" customHeight="1">
      <c r="A49" s="2"/>
      <c r="B49" s="51" t="s">
        <v>64</v>
      </c>
      <c r="C49" s="23">
        <f>C47-C48</f>
        <v>123940196121.16</v>
      </c>
      <c r="D49" s="23">
        <f>D47-D48</f>
        <v>123592005122.08</v>
      </c>
      <c r="E49" s="36" t="s">
        <v>54</v>
      </c>
      <c r="F49" s="36" t="s">
        <v>54</v>
      </c>
      <c r="G49" s="36" t="s">
        <v>54</v>
      </c>
      <c r="H49" s="36" t="s">
        <v>54</v>
      </c>
      <c r="I49" s="36" t="s">
        <v>54</v>
      </c>
      <c r="J49" s="36" t="s">
        <v>54</v>
      </c>
      <c r="K49" s="35">
        <f t="shared" si="0"/>
        <v>91.6161659962236</v>
      </c>
      <c r="L49" s="35">
        <f>IF(C49=0,"",100*D49/C49)</f>
        <v>99.71906531538838</v>
      </c>
      <c r="M49" s="35"/>
    </row>
    <row r="50" spans="2:13" ht="15">
      <c r="B50" s="58" t="s">
        <v>78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" customFormat="1" ht="7.5" customHeight="1">
      <c r="B51" s="6"/>
      <c r="C51" s="7"/>
      <c r="D51" s="8"/>
      <c r="E51" s="8"/>
      <c r="F51" s="4"/>
      <c r="G51" s="4"/>
      <c r="H51" s="4"/>
      <c r="I51" s="4"/>
      <c r="J51" s="4"/>
      <c r="K51" s="9"/>
      <c r="L51" s="9"/>
      <c r="M51" s="3"/>
    </row>
    <row r="52" spans="2:27" ht="29.25" customHeight="1">
      <c r="B52" s="61" t="s">
        <v>0</v>
      </c>
      <c r="C52" s="59" t="s">
        <v>50</v>
      </c>
      <c r="D52" s="59" t="s">
        <v>51</v>
      </c>
      <c r="E52" s="59" t="s">
        <v>52</v>
      </c>
      <c r="F52" s="59" t="s">
        <v>11</v>
      </c>
      <c r="G52" s="59"/>
      <c r="H52" s="59"/>
      <c r="I52" s="59" t="s">
        <v>72</v>
      </c>
      <c r="J52" s="59"/>
      <c r="K52" s="59" t="s">
        <v>1</v>
      </c>
      <c r="L52" s="65" t="s">
        <v>30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8" customHeight="1">
      <c r="B53" s="61"/>
      <c r="C53" s="59"/>
      <c r="D53" s="60"/>
      <c r="E53" s="59"/>
      <c r="F53" s="57" t="s">
        <v>53</v>
      </c>
      <c r="G53" s="64" t="s">
        <v>28</v>
      </c>
      <c r="H53" s="60"/>
      <c r="I53" s="59"/>
      <c r="J53" s="59"/>
      <c r="K53" s="59"/>
      <c r="L53" s="65"/>
      <c r="M53" s="11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36" customHeight="1">
      <c r="B54" s="61"/>
      <c r="C54" s="59"/>
      <c r="D54" s="60"/>
      <c r="E54" s="59"/>
      <c r="F54" s="60"/>
      <c r="G54" s="17" t="s">
        <v>48</v>
      </c>
      <c r="H54" s="17" t="s">
        <v>49</v>
      </c>
      <c r="I54" s="59"/>
      <c r="J54" s="59"/>
      <c r="K54" s="59"/>
      <c r="L54" s="65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3.5" customHeight="1">
      <c r="B55" s="61"/>
      <c r="C55" s="62" t="s">
        <v>70</v>
      </c>
      <c r="D55" s="62"/>
      <c r="E55" s="62"/>
      <c r="F55" s="62"/>
      <c r="G55" s="62"/>
      <c r="H55" s="62"/>
      <c r="I55" s="62"/>
      <c r="J55" s="62"/>
      <c r="K55" s="62" t="s">
        <v>3</v>
      </c>
      <c r="L55" s="62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1.25" customHeight="1">
      <c r="B56" s="16">
        <v>1</v>
      </c>
      <c r="C56" s="18">
        <v>2</v>
      </c>
      <c r="D56" s="18">
        <v>3</v>
      </c>
      <c r="E56" s="18">
        <v>4</v>
      </c>
      <c r="F56" s="16">
        <v>5</v>
      </c>
      <c r="G56" s="16">
        <v>6</v>
      </c>
      <c r="H56" s="18">
        <v>7</v>
      </c>
      <c r="I56" s="60">
        <v>8</v>
      </c>
      <c r="J56" s="60"/>
      <c r="K56" s="16">
        <v>9</v>
      </c>
      <c r="L56" s="18">
        <v>10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12" ht="25.5" customHeight="1">
      <c r="B57" s="50" t="s">
        <v>58</v>
      </c>
      <c r="C57" s="44">
        <f>145523352835.36</f>
        <v>145523352835.36</v>
      </c>
      <c r="D57" s="36" t="s">
        <v>54</v>
      </c>
      <c r="E57" s="44">
        <f>135022394593.98</f>
        <v>135022394593.98</v>
      </c>
      <c r="F57" s="36" t="s">
        <v>54</v>
      </c>
      <c r="G57" s="36" t="s">
        <v>54</v>
      </c>
      <c r="H57" s="36" t="s">
        <v>54</v>
      </c>
      <c r="I57" s="56" t="s">
        <v>54</v>
      </c>
      <c r="J57" s="56"/>
      <c r="K57" s="39">
        <f aca="true" t="shared" si="4" ref="K57:K66">IF($E$57=0,"",100*$E57/$E$57)</f>
        <v>100</v>
      </c>
      <c r="L57" s="39">
        <f aca="true" t="shared" si="5" ref="L57:L66">IF(C57=0,"",100*E57/C57)</f>
        <v>92.78400474097074</v>
      </c>
    </row>
    <row r="58" spans="2:12" ht="24" customHeight="1">
      <c r="B58" s="50" t="s">
        <v>13</v>
      </c>
      <c r="C58" s="25">
        <f>27479202749.2</f>
        <v>27479202749.2</v>
      </c>
      <c r="D58" s="36" t="s">
        <v>54</v>
      </c>
      <c r="E58" s="25">
        <f>22608971667.14</f>
        <v>22608971667.14</v>
      </c>
      <c r="F58" s="36" t="s">
        <v>54</v>
      </c>
      <c r="G58" s="36" t="s">
        <v>54</v>
      </c>
      <c r="H58" s="36" t="s">
        <v>54</v>
      </c>
      <c r="I58" s="56" t="s">
        <v>54</v>
      </c>
      <c r="J58" s="56"/>
      <c r="K58" s="33">
        <f t="shared" si="4"/>
        <v>16.744608725927623</v>
      </c>
      <c r="L58" s="33">
        <f t="shared" si="5"/>
        <v>82.27666527842848</v>
      </c>
    </row>
    <row r="59" spans="2:12" ht="22.5" customHeight="1">
      <c r="B59" s="19" t="s">
        <v>12</v>
      </c>
      <c r="C59" s="21">
        <f>26987290995.06</f>
        <v>26987290995.06</v>
      </c>
      <c r="D59" s="36" t="s">
        <v>54</v>
      </c>
      <c r="E59" s="21">
        <f>22137610786.24</f>
        <v>22137610786.24</v>
      </c>
      <c r="F59" s="36" t="s">
        <v>54</v>
      </c>
      <c r="G59" s="36" t="s">
        <v>54</v>
      </c>
      <c r="H59" s="36" t="s">
        <v>54</v>
      </c>
      <c r="I59" s="56" t="s">
        <v>54</v>
      </c>
      <c r="J59" s="56"/>
      <c r="K59" s="34">
        <f t="shared" si="4"/>
        <v>16.395510428332315</v>
      </c>
      <c r="L59" s="34">
        <f t="shared" si="5"/>
        <v>82.02976278831495</v>
      </c>
    </row>
    <row r="60" spans="2:12" ht="25.5" customHeight="1">
      <c r="B60" s="50" t="s">
        <v>59</v>
      </c>
      <c r="C60" s="25">
        <f>C57-C58</f>
        <v>118044150086.15999</v>
      </c>
      <c r="D60" s="36" t="s">
        <v>54</v>
      </c>
      <c r="E60" s="25">
        <f>E57-E58</f>
        <v>112413422926.84</v>
      </c>
      <c r="F60" s="36" t="s">
        <v>54</v>
      </c>
      <c r="G60" s="36" t="s">
        <v>54</v>
      </c>
      <c r="H60" s="36" t="s">
        <v>54</v>
      </c>
      <c r="I60" s="56" t="s">
        <v>54</v>
      </c>
      <c r="J60" s="56"/>
      <c r="K60" s="33">
        <f t="shared" si="4"/>
        <v>83.25539127407238</v>
      </c>
      <c r="L60" s="33">
        <f t="shared" si="5"/>
        <v>95.22998204043984</v>
      </c>
    </row>
    <row r="61" spans="2:12" ht="22.5">
      <c r="B61" s="19" t="s">
        <v>77</v>
      </c>
      <c r="C61" s="21">
        <f>43140146910.22</f>
        <v>43140146910.22</v>
      </c>
      <c r="D61" s="36" t="s">
        <v>54</v>
      </c>
      <c r="E61" s="21">
        <f>41696934062.92</f>
        <v>41696934062.92</v>
      </c>
      <c r="F61" s="36" t="s">
        <v>54</v>
      </c>
      <c r="G61" s="36" t="s">
        <v>54</v>
      </c>
      <c r="H61" s="36" t="s">
        <v>54</v>
      </c>
      <c r="I61" s="56" t="s">
        <v>54</v>
      </c>
      <c r="J61" s="56"/>
      <c r="K61" s="34">
        <f t="shared" si="4"/>
        <v>30.88149502036684</v>
      </c>
      <c r="L61" s="34">
        <f t="shared" si="5"/>
        <v>96.6545945003305</v>
      </c>
    </row>
    <row r="62" spans="2:12" ht="13.5" customHeight="1">
      <c r="B62" s="30" t="s">
        <v>47</v>
      </c>
      <c r="C62" s="45">
        <f>8304906553.44</f>
        <v>8304906553.44</v>
      </c>
      <c r="D62" s="36" t="s">
        <v>54</v>
      </c>
      <c r="E62" s="45">
        <f>8103259155.66</f>
        <v>8103259155.66</v>
      </c>
      <c r="F62" s="36" t="s">
        <v>54</v>
      </c>
      <c r="G62" s="36" t="s">
        <v>54</v>
      </c>
      <c r="H62" s="36" t="s">
        <v>54</v>
      </c>
      <c r="I62" s="56" t="s">
        <v>54</v>
      </c>
      <c r="J62" s="56"/>
      <c r="K62" s="46">
        <f t="shared" si="4"/>
        <v>6.001418638757637</v>
      </c>
      <c r="L62" s="34">
        <f t="shared" si="5"/>
        <v>97.5719486247985</v>
      </c>
    </row>
    <row r="63" spans="2:12" ht="13.5" customHeight="1">
      <c r="B63" s="30" t="s">
        <v>46</v>
      </c>
      <c r="C63" s="45">
        <f>942085280.71</f>
        <v>942085280.71</v>
      </c>
      <c r="D63" s="36" t="s">
        <v>54</v>
      </c>
      <c r="E63" s="45">
        <f>830456325.63</f>
        <v>830456325.63</v>
      </c>
      <c r="F63" s="36" t="s">
        <v>54</v>
      </c>
      <c r="G63" s="36" t="s">
        <v>54</v>
      </c>
      <c r="H63" s="36" t="s">
        <v>54</v>
      </c>
      <c r="I63" s="56" t="s">
        <v>54</v>
      </c>
      <c r="J63" s="56"/>
      <c r="K63" s="46">
        <f t="shared" si="4"/>
        <v>0.6150508055550558</v>
      </c>
      <c r="L63" s="46">
        <f t="shared" si="5"/>
        <v>88.15086517476728</v>
      </c>
    </row>
    <row r="64" spans="2:12" ht="22.5" customHeight="1">
      <c r="B64" s="30" t="s">
        <v>60</v>
      </c>
      <c r="C64" s="45">
        <f>67311284.43</f>
        <v>67311284.43</v>
      </c>
      <c r="D64" s="36" t="s">
        <v>54</v>
      </c>
      <c r="E64" s="45">
        <f>5631825.12</f>
        <v>5631825.12</v>
      </c>
      <c r="F64" s="36" t="s">
        <v>54</v>
      </c>
      <c r="G64" s="36" t="s">
        <v>54</v>
      </c>
      <c r="H64" s="36" t="s">
        <v>54</v>
      </c>
      <c r="I64" s="56" t="s">
        <v>54</v>
      </c>
      <c r="J64" s="56"/>
      <c r="K64" s="46">
        <f t="shared" si="4"/>
        <v>0.004171030396057793</v>
      </c>
      <c r="L64" s="46">
        <f t="shared" si="5"/>
        <v>8.36683650845615</v>
      </c>
    </row>
    <row r="65" spans="2:12" ht="22.5" customHeight="1">
      <c r="B65" s="30" t="s">
        <v>62</v>
      </c>
      <c r="C65" s="45">
        <f>35932473455.31</f>
        <v>35932473455.31</v>
      </c>
      <c r="D65" s="36" t="s">
        <v>54</v>
      </c>
      <c r="E65" s="45">
        <f>35437310444.52</f>
        <v>35437310444.52</v>
      </c>
      <c r="F65" s="36" t="s">
        <v>54</v>
      </c>
      <c r="G65" s="36" t="s">
        <v>54</v>
      </c>
      <c r="H65" s="36" t="s">
        <v>54</v>
      </c>
      <c r="I65" s="56" t="s">
        <v>54</v>
      </c>
      <c r="J65" s="56"/>
      <c r="K65" s="46">
        <f t="shared" si="4"/>
        <v>26.24550582966774</v>
      </c>
      <c r="L65" s="46">
        <f t="shared" si="5"/>
        <v>98.62196235556718</v>
      </c>
    </row>
    <row r="66" spans="2:12" ht="13.5" customHeight="1">
      <c r="B66" s="30" t="s">
        <v>45</v>
      </c>
      <c r="C66" s="23">
        <f>C60-C61-C62-C63-C64-C65</f>
        <v>29657226602.049988</v>
      </c>
      <c r="D66" s="36" t="s">
        <v>54</v>
      </c>
      <c r="E66" s="23">
        <f>E60-E61-E62-E63-E64-E65</f>
        <v>26339831112.989998</v>
      </c>
      <c r="F66" s="36" t="s">
        <v>54</v>
      </c>
      <c r="G66" s="36" t="s">
        <v>54</v>
      </c>
      <c r="H66" s="36" t="s">
        <v>54</v>
      </c>
      <c r="I66" s="56" t="s">
        <v>54</v>
      </c>
      <c r="J66" s="56"/>
      <c r="K66" s="46">
        <f t="shared" si="4"/>
        <v>19.50774994932905</v>
      </c>
      <c r="L66" s="46">
        <f t="shared" si="5"/>
        <v>88.81420864609545</v>
      </c>
    </row>
    <row r="67" spans="2:13" ht="18" customHeight="1">
      <c r="B67" s="50" t="s">
        <v>14</v>
      </c>
      <c r="C67" s="25">
        <f>C6-C57</f>
        <v>-8316430912.689987</v>
      </c>
      <c r="D67" s="25"/>
      <c r="E67" s="25">
        <f>D6-E57</f>
        <v>-120432938.8999939</v>
      </c>
      <c r="F67" s="25"/>
      <c r="G67" s="25"/>
      <c r="H67" s="25"/>
      <c r="I67" s="63"/>
      <c r="J67" s="63"/>
      <c r="K67" s="26"/>
      <c r="L67" s="26"/>
      <c r="M67" s="13"/>
    </row>
    <row r="68" spans="2:13" ht="33" customHeight="1">
      <c r="B68" s="52" t="s">
        <v>65</v>
      </c>
      <c r="C68" s="25">
        <f>+C49-C60</f>
        <v>5896046035.000015</v>
      </c>
      <c r="D68" s="25"/>
      <c r="E68" s="25">
        <f>+D49-E60</f>
        <v>11178582195.240005</v>
      </c>
      <c r="F68" s="25"/>
      <c r="G68" s="25"/>
      <c r="H68" s="25"/>
      <c r="I68" s="25"/>
      <c r="J68" s="25"/>
      <c r="K68" s="26"/>
      <c r="L68" s="26"/>
      <c r="M68" s="13"/>
    </row>
    <row r="69" spans="2:13" ht="8.25" customHeight="1" thickBot="1">
      <c r="B69" s="47"/>
      <c r="C69" s="48"/>
      <c r="D69" s="48"/>
      <c r="E69" s="48"/>
      <c r="F69" s="48"/>
      <c r="G69" s="48"/>
      <c r="H69" s="48"/>
      <c r="I69" s="48"/>
      <c r="J69" s="48"/>
      <c r="K69" s="26"/>
      <c r="L69" s="26"/>
      <c r="M69" s="13"/>
    </row>
    <row r="70" spans="2:13" ht="14.25" customHeight="1">
      <c r="B70" s="53" t="s">
        <v>66</v>
      </c>
      <c r="C70" s="48"/>
      <c r="D70" s="48"/>
      <c r="E70" s="48"/>
      <c r="F70" s="48"/>
      <c r="G70" s="48"/>
      <c r="H70" s="48"/>
      <c r="I70" s="48"/>
      <c r="J70" s="48"/>
      <c r="K70" s="26"/>
      <c r="L70" s="26"/>
      <c r="M70" s="13"/>
    </row>
    <row r="71" spans="2:13" ht="24" customHeight="1">
      <c r="B71" s="50" t="s">
        <v>67</v>
      </c>
      <c r="C71" s="36">
        <f>11990062966.21</f>
        <v>11990062966.21</v>
      </c>
      <c r="D71" s="36" t="s">
        <v>54</v>
      </c>
      <c r="E71" s="36">
        <f>9649920838.18</f>
        <v>9649920838.18</v>
      </c>
      <c r="F71" s="36" t="s">
        <v>54</v>
      </c>
      <c r="G71" s="36" t="s">
        <v>54</v>
      </c>
      <c r="H71" s="36" t="s">
        <v>54</v>
      </c>
      <c r="I71" s="36" t="s">
        <v>54</v>
      </c>
      <c r="J71" s="36" t="s">
        <v>54</v>
      </c>
      <c r="K71" s="49">
        <f>IF($E$57=0,"",100*$E71/$E$71)</f>
        <v>100</v>
      </c>
      <c r="L71" s="49">
        <f>IF(C71=0,"",100*E71/C71)</f>
        <v>80.48265355549083</v>
      </c>
      <c r="M71" s="13"/>
    </row>
    <row r="72" spans="2:13" ht="15" customHeight="1">
      <c r="B72" s="54" t="s">
        <v>68</v>
      </c>
      <c r="C72" s="21">
        <f>10926815813.9</f>
        <v>10926815813.9</v>
      </c>
      <c r="D72" s="36" t="s">
        <v>54</v>
      </c>
      <c r="E72" s="21">
        <f>8742002840.5</f>
        <v>8742002840.5</v>
      </c>
      <c r="F72" s="36" t="s">
        <v>54</v>
      </c>
      <c r="G72" s="36" t="s">
        <v>54</v>
      </c>
      <c r="H72" s="36" t="s">
        <v>54</v>
      </c>
      <c r="I72" s="36" t="s">
        <v>54</v>
      </c>
      <c r="J72" s="36" t="s">
        <v>54</v>
      </c>
      <c r="K72" s="34">
        <f>IF($E$57=0,"",100*$E72/$E$71)</f>
        <v>90.59144615893827</v>
      </c>
      <c r="L72" s="34">
        <f>IF(C72=0,"",100*E72/C72)</f>
        <v>80.005035221508</v>
      </c>
      <c r="M72" s="13"/>
    </row>
    <row r="73" spans="2:13" ht="14.25" customHeight="1">
      <c r="B73" s="55" t="s">
        <v>69</v>
      </c>
      <c r="C73" s="21">
        <f>+C71-C72</f>
        <v>1063247152.3099995</v>
      </c>
      <c r="D73" s="36" t="s">
        <v>54</v>
      </c>
      <c r="E73" s="21">
        <f>+E71-E72</f>
        <v>907917997.6800003</v>
      </c>
      <c r="F73" s="36" t="s">
        <v>54</v>
      </c>
      <c r="G73" s="36" t="s">
        <v>54</v>
      </c>
      <c r="H73" s="36" t="s">
        <v>54</v>
      </c>
      <c r="I73" s="36" t="s">
        <v>54</v>
      </c>
      <c r="J73" s="36" t="s">
        <v>54</v>
      </c>
      <c r="K73" s="34">
        <f>IF($E$57=0,"",100*$E73/$E$71)</f>
        <v>9.408553841061726</v>
      </c>
      <c r="L73" s="34">
        <f>IF(C73=0,"",100*E73/C73)</f>
        <v>85.39105848602249</v>
      </c>
      <c r="M73" s="10"/>
    </row>
  </sheetData>
  <sheetProtection/>
  <mergeCells count="29">
    <mergeCell ref="I66:J66"/>
    <mergeCell ref="I67:J67"/>
    <mergeCell ref="B52:B55"/>
    <mergeCell ref="K52:K54"/>
    <mergeCell ref="K55:L55"/>
    <mergeCell ref="G53:H53"/>
    <mergeCell ref="L52:L54"/>
    <mergeCell ref="I59:J59"/>
    <mergeCell ref="I60:J60"/>
    <mergeCell ref="I56:J56"/>
    <mergeCell ref="I57:J57"/>
    <mergeCell ref="B3:B4"/>
    <mergeCell ref="K4:M4"/>
    <mergeCell ref="C4:J4"/>
    <mergeCell ref="C55:J55"/>
    <mergeCell ref="C52:C54"/>
    <mergeCell ref="B50:M50"/>
    <mergeCell ref="B1:M1"/>
    <mergeCell ref="I52:J54"/>
    <mergeCell ref="D52:D54"/>
    <mergeCell ref="E52:E54"/>
    <mergeCell ref="F53:F54"/>
    <mergeCell ref="F52:H52"/>
    <mergeCell ref="I58:J58"/>
    <mergeCell ref="I65:J65"/>
    <mergeCell ref="I63:J63"/>
    <mergeCell ref="I64:J64"/>
    <mergeCell ref="I61:J61"/>
    <mergeCell ref="I62:J62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2" manualBreakCount="2">
    <brk id="21" max="255" man="1"/>
    <brk id="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2018-03-19T09:08:58Z</cp:lastPrinted>
  <dcterms:created xsi:type="dcterms:W3CDTF">2001-05-17T08:58:03Z</dcterms:created>
  <dcterms:modified xsi:type="dcterms:W3CDTF">2020-01-31T11:37:35Z</dcterms:modified>
  <cp:category/>
  <cp:version/>
  <cp:contentType/>
  <cp:contentStatus/>
</cp:coreProperties>
</file>