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565CBF31-28B1-429F-AA43-3A363E3B6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82" i="7" l="1"/>
  <c r="A63" i="7"/>
  <c r="A1" i="7"/>
  <c r="A27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<sst xmlns="http://schemas.openxmlformats.org/spreadsheetml/2006/main" count="97" uniqueCount="81">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</sst>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activeCell="A2" sqref="A2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III Kwartały 2023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5882464667.97</f>
        <v>5882464667.9700003</v>
      </c>
      <c r="C13" s="21">
        <f>5882464667.97</f>
        <v>5882464667.9700003</v>
      </c>
      <c r="D13" s="21">
        <f>248982140.87</f>
        <v>248982140.87</v>
      </c>
      <c r="E13" s="21">
        <f>207885755</f>
        <v>207885755</v>
      </c>
      <c r="F13" s="21">
        <f>9413158.75</f>
        <v>9413158.75</v>
      </c>
      <c r="G13" s="21">
        <f>31683227.12</f>
        <v>31683227.120000001</v>
      </c>
      <c r="H13" s="21">
        <f>0</f>
        <v>0</v>
      </c>
      <c r="I13" s="21">
        <f>0</f>
        <v>0</v>
      </c>
      <c r="J13" s="21">
        <f>5338457113.45</f>
        <v>5338457113.4499998</v>
      </c>
      <c r="K13" s="21">
        <f>282361409.79</f>
        <v>282361409.79000002</v>
      </c>
      <c r="L13" s="21">
        <f>8542818.11</f>
        <v>8542818.1099999994</v>
      </c>
      <c r="M13" s="21">
        <f>607777.55</f>
        <v>607777.55000000005</v>
      </c>
      <c r="N13" s="21">
        <f>3513408.2</f>
        <v>3513408.2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90865000</f>
        <v>90865000</v>
      </c>
      <c r="C14" s="21">
        <f>90865000</f>
        <v>90865000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90865000</f>
        <v>90865000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90865000</f>
        <v>90865000</v>
      </c>
      <c r="C16" s="22">
        <f>90865000</f>
        <v>90865000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90865000</f>
        <v>90865000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5782760536.34</f>
        <v>5782760536.3400002</v>
      </c>
      <c r="C17" s="21">
        <f>5782760536.34</f>
        <v>5782760536.3400002</v>
      </c>
      <c r="D17" s="21">
        <f>242370082.15</f>
        <v>242370082.15000001</v>
      </c>
      <c r="E17" s="21">
        <f>202617105.11</f>
        <v>202617105.11000001</v>
      </c>
      <c r="F17" s="21">
        <f>9313338.75</f>
        <v>9313338.75</v>
      </c>
      <c r="G17" s="21">
        <f>30439638.29</f>
        <v>30439638.289999999</v>
      </c>
      <c r="H17" s="21">
        <f>0</f>
        <v>0</v>
      </c>
      <c r="I17" s="21">
        <f>0</f>
        <v>0</v>
      </c>
      <c r="J17" s="21">
        <f>5247592113.45</f>
        <v>5247592113.4499998</v>
      </c>
      <c r="K17" s="21">
        <f>282361409.79</f>
        <v>282361409.79000002</v>
      </c>
      <c r="L17" s="21">
        <f>7021715.25</f>
        <v>7021715.25</v>
      </c>
      <c r="M17" s="21">
        <f>0</f>
        <v>0</v>
      </c>
      <c r="N17" s="21">
        <f>3415215.7</f>
        <v>3415215.7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37215419.95</f>
        <v>37215419.950000003</v>
      </c>
      <c r="C18" s="22">
        <f>37215419.95</f>
        <v>37215419.950000003</v>
      </c>
      <c r="D18" s="22">
        <f>55296</f>
        <v>55296</v>
      </c>
      <c r="E18" s="22">
        <f>0</f>
        <v>0</v>
      </c>
      <c r="F18" s="22">
        <f>55296</f>
        <v>55296</v>
      </c>
      <c r="G18" s="22">
        <f>0</f>
        <v>0</v>
      </c>
      <c r="H18" s="22">
        <f>0</f>
        <v>0</v>
      </c>
      <c r="I18" s="22">
        <f>0</f>
        <v>0</v>
      </c>
      <c r="J18" s="22">
        <f>32364433.83</f>
        <v>32364433.829999998</v>
      </c>
      <c r="K18" s="22">
        <f>465690.12</f>
        <v>465690.12</v>
      </c>
      <c r="L18" s="22">
        <f>4330000</f>
        <v>4330000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5745545116.39</f>
        <v>5745545116.3900003</v>
      </c>
      <c r="C19" s="22">
        <f>5745545116.39</f>
        <v>5745545116.3900003</v>
      </c>
      <c r="D19" s="22">
        <f>242314786.15</f>
        <v>242314786.15000001</v>
      </c>
      <c r="E19" s="22">
        <f>202617105.11</f>
        <v>202617105.11000001</v>
      </c>
      <c r="F19" s="22">
        <f>9258042.75</f>
        <v>9258042.75</v>
      </c>
      <c r="G19" s="22">
        <f>30439638.29</f>
        <v>30439638.289999999</v>
      </c>
      <c r="H19" s="22">
        <f>0</f>
        <v>0</v>
      </c>
      <c r="I19" s="22">
        <f>0</f>
        <v>0</v>
      </c>
      <c r="J19" s="22">
        <f>5215227679.62</f>
        <v>5215227679.6199999</v>
      </c>
      <c r="K19" s="22">
        <f>281895719.67</f>
        <v>281895719.67000002</v>
      </c>
      <c r="L19" s="22">
        <f>2691715.25</f>
        <v>2691715.25</v>
      </c>
      <c r="M19" s="22">
        <f>0</f>
        <v>0</v>
      </c>
      <c r="N19" s="22">
        <f>3415215.7</f>
        <v>3415215.7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8839131.63</f>
        <v>8839131.6300000008</v>
      </c>
      <c r="C21" s="21">
        <f>8839131.63</f>
        <v>8839131.6300000008</v>
      </c>
      <c r="D21" s="21">
        <f>6612058.72</f>
        <v>6612058.7199999997</v>
      </c>
      <c r="E21" s="21">
        <f>5268649.89</f>
        <v>5268649.8899999997</v>
      </c>
      <c r="F21" s="21">
        <f>99820</f>
        <v>99820</v>
      </c>
      <c r="G21" s="21">
        <f>1243588.83</f>
        <v>1243588.83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1521102.86</f>
        <v>1521102.86</v>
      </c>
      <c r="M21" s="21">
        <f>607777.55</f>
        <v>607777.55000000005</v>
      </c>
      <c r="N21" s="21">
        <f>98192.5</f>
        <v>98192.5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2079357.79</f>
        <v>2079357.79</v>
      </c>
      <c r="C22" s="22">
        <f>2079357.79</f>
        <v>2079357.79</v>
      </c>
      <c r="D22" s="22">
        <f>215111.09</f>
        <v>215111.09</v>
      </c>
      <c r="E22" s="22">
        <f>0</f>
        <v>0</v>
      </c>
      <c r="F22" s="22">
        <f>99820</f>
        <v>99820</v>
      </c>
      <c r="G22" s="22">
        <f>115291.09</f>
        <v>115291.09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1451814.41</f>
        <v>1451814.41</v>
      </c>
      <c r="M22" s="22">
        <f>314239.79</f>
        <v>314239.78999999998</v>
      </c>
      <c r="N22" s="22">
        <f>98192.5</f>
        <v>98192.5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6759773.84</f>
        <v>6759773.8399999999</v>
      </c>
      <c r="C23" s="22">
        <f>6759773.84</f>
        <v>6759773.8399999999</v>
      </c>
      <c r="D23" s="22">
        <f>6396947.63</f>
        <v>6396947.6299999999</v>
      </c>
      <c r="E23" s="22">
        <f>5268649.89</f>
        <v>5268649.8899999997</v>
      </c>
      <c r="F23" s="22">
        <f>0</f>
        <v>0</v>
      </c>
      <c r="G23" s="22">
        <f>1128297.74</f>
        <v>1128297.74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69288.45</f>
        <v>69288.45</v>
      </c>
      <c r="M23" s="22">
        <f>293537.76</f>
        <v>293537.76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III Kwartały 2023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278034.61</f>
        <v>278034.61</v>
      </c>
      <c r="C38" s="23">
        <f>278034.61</f>
        <v>278034.61</v>
      </c>
      <c r="D38" s="23">
        <f>50000</f>
        <v>50000</v>
      </c>
      <c r="E38" s="23">
        <f>50000</f>
        <v>50000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50045</f>
        <v>50045</v>
      </c>
      <c r="M38" s="23">
        <f>177989.61</f>
        <v>177989.61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8872.5</f>
        <v>8872.5</v>
      </c>
      <c r="C39" s="24">
        <f>8872.5</f>
        <v>8872.5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8872.5</f>
        <v>8872.5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269162.11</f>
        <v>269162.11</v>
      </c>
      <c r="C40" s="24">
        <f>269162.11</f>
        <v>269162.11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41172.5</f>
        <v>41172.5</v>
      </c>
      <c r="M40" s="24">
        <f>177989.61</f>
        <v>177989.61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189484139.32</f>
        <v>189484139.31999999</v>
      </c>
      <c r="C41" s="23">
        <f>189484139.32</f>
        <v>189484139.31999999</v>
      </c>
      <c r="D41" s="23">
        <f>133198844.67</f>
        <v>133198844.67</v>
      </c>
      <c r="E41" s="23">
        <f>63452.61</f>
        <v>63452.61</v>
      </c>
      <c r="F41" s="23">
        <f>5227537.6</f>
        <v>5227537.5999999996</v>
      </c>
      <c r="G41" s="23">
        <f>127907854.46</f>
        <v>127907854.45999999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42618794.17</f>
        <v>42618794.170000002</v>
      </c>
      <c r="M41" s="23">
        <f>12215129.45</f>
        <v>12215129.449999999</v>
      </c>
      <c r="N41" s="23">
        <f>1451371.03</f>
        <v>1451371.03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54318404.65</f>
        <v>54318404.649999999</v>
      </c>
      <c r="C42" s="24">
        <f>54318404.65</f>
        <v>54318404.649999999</v>
      </c>
      <c r="D42" s="24">
        <f>40795966.98</f>
        <v>40795966.979999997</v>
      </c>
      <c r="E42" s="24">
        <f>0</f>
        <v>0</v>
      </c>
      <c r="F42" s="24">
        <f>3375000</f>
        <v>3375000</v>
      </c>
      <c r="G42" s="24">
        <f>37420966.98</f>
        <v>37420966.979999997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11454151.01</f>
        <v>11454151.01</v>
      </c>
      <c r="M42" s="24">
        <f>1499965.32</f>
        <v>1499965.32</v>
      </c>
      <c r="N42" s="24">
        <f>568321.34</f>
        <v>568321.34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135165734.67</f>
        <v>135165734.66999999</v>
      </c>
      <c r="C43" s="24">
        <f>135165734.67</f>
        <v>135165734.66999999</v>
      </c>
      <c r="D43" s="24">
        <f>92402877.69</f>
        <v>92402877.689999998</v>
      </c>
      <c r="E43" s="24">
        <f>63452.61</f>
        <v>63452.61</v>
      </c>
      <c r="F43" s="24">
        <f>1852537.6</f>
        <v>1852537.6</v>
      </c>
      <c r="G43" s="24">
        <f>90486887.48</f>
        <v>90486887.480000004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31164643.16</f>
        <v>31164643.16</v>
      </c>
      <c r="M43" s="24">
        <f>10715164.13</f>
        <v>10715164.130000001</v>
      </c>
      <c r="N43" s="24">
        <f>883049.69</f>
        <v>883049.69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7690676635.92</f>
        <v>7690676635.9200001</v>
      </c>
      <c r="C44" s="23">
        <f>7690676635.92</f>
        <v>7690676635.9200001</v>
      </c>
      <c r="D44" s="23">
        <f>2521649.41</f>
        <v>2521649.41</v>
      </c>
      <c r="E44" s="23">
        <f>20704.15</f>
        <v>20704.150000000001</v>
      </c>
      <c r="F44" s="23">
        <f>2903</f>
        <v>2903</v>
      </c>
      <c r="G44" s="23">
        <f>2498042.26</f>
        <v>2498042.2599999998</v>
      </c>
      <c r="H44" s="23">
        <f>0</f>
        <v>0</v>
      </c>
      <c r="I44" s="23">
        <f>5669231.42</f>
        <v>5669231.4199999999</v>
      </c>
      <c r="J44" s="23">
        <f>7682272680.46</f>
        <v>7682272680.46</v>
      </c>
      <c r="K44" s="23">
        <f>72678.98</f>
        <v>72678.98</v>
      </c>
      <c r="L44" s="23">
        <f>44112.53</f>
        <v>44112.53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2495447.39</f>
        <v>2495447.39</v>
      </c>
      <c r="C45" s="24">
        <f>2495447.39</f>
        <v>2495447.39</v>
      </c>
      <c r="D45" s="24">
        <f>2495447.39</f>
        <v>2495447.39</v>
      </c>
      <c r="E45" s="24">
        <f>0</f>
        <v>0</v>
      </c>
      <c r="F45" s="24">
        <f>0</f>
        <v>0</v>
      </c>
      <c r="G45" s="24">
        <f>2495447.39</f>
        <v>2495447.39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6481533196.68</f>
        <v>6481533196.6800003</v>
      </c>
      <c r="C46" s="24">
        <f>6481533196.68</f>
        <v>6481533196.6800003</v>
      </c>
      <c r="D46" s="24">
        <f>2785.62</f>
        <v>2785.62</v>
      </c>
      <c r="E46" s="24">
        <f>1365.62</f>
        <v>1365.62</v>
      </c>
      <c r="F46" s="24">
        <f>263</f>
        <v>263</v>
      </c>
      <c r="G46" s="24">
        <f>1157</f>
        <v>1157</v>
      </c>
      <c r="H46" s="24">
        <f>0</f>
        <v>0</v>
      </c>
      <c r="I46" s="24">
        <f>5669231.42</f>
        <v>5669231.4199999999</v>
      </c>
      <c r="J46" s="24">
        <f>6475688298.33</f>
        <v>6475688298.3299999</v>
      </c>
      <c r="K46" s="24">
        <f>64247.93</f>
        <v>64247.93</v>
      </c>
      <c r="L46" s="24">
        <f>14350.26</f>
        <v>14350.26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1206647991.85</f>
        <v>1206647991.8499999</v>
      </c>
      <c r="C47" s="24">
        <f>1206647991.85</f>
        <v>1206647991.8499999</v>
      </c>
      <c r="D47" s="24">
        <f>23416.4</f>
        <v>23416.400000000001</v>
      </c>
      <c r="E47" s="24">
        <f>19338.53</f>
        <v>19338.53</v>
      </c>
      <c r="F47" s="24">
        <f>2640</f>
        <v>2640</v>
      </c>
      <c r="G47" s="24">
        <f>1437.87</f>
        <v>1437.87</v>
      </c>
      <c r="H47" s="24">
        <f>0</f>
        <v>0</v>
      </c>
      <c r="I47" s="24">
        <f>0</f>
        <v>0</v>
      </c>
      <c r="J47" s="24">
        <f>1206584382.13</f>
        <v>1206584382.1300001</v>
      </c>
      <c r="K47" s="24">
        <f>8431.05</f>
        <v>8431.0499999999993</v>
      </c>
      <c r="L47" s="24">
        <f>29762.27</f>
        <v>29762.27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808685528.45</f>
        <v>808685528.45000005</v>
      </c>
      <c r="C48" s="23">
        <f>807826894.67</f>
        <v>807826894.66999996</v>
      </c>
      <c r="D48" s="23">
        <f>23672396.96</f>
        <v>23672396.960000001</v>
      </c>
      <c r="E48" s="23">
        <f>7537984.48</f>
        <v>7537984.4800000004</v>
      </c>
      <c r="F48" s="23">
        <f>315315.21</f>
        <v>315315.21000000002</v>
      </c>
      <c r="G48" s="23">
        <f>15811978.5</f>
        <v>15811978.5</v>
      </c>
      <c r="H48" s="23">
        <f>7118.77</f>
        <v>7118.77</v>
      </c>
      <c r="I48" s="23">
        <f>0</f>
        <v>0</v>
      </c>
      <c r="J48" s="23">
        <f>3734183.88</f>
        <v>3734183.88</v>
      </c>
      <c r="K48" s="23">
        <f>337392.23</f>
        <v>337392.23</v>
      </c>
      <c r="L48" s="23">
        <f>234765189.9</f>
        <v>234765189.90000001</v>
      </c>
      <c r="M48" s="23">
        <f>542641081.49</f>
        <v>542641081.49000001</v>
      </c>
      <c r="N48" s="23">
        <f>2676650.21</f>
        <v>2676650.21</v>
      </c>
      <c r="O48" s="23">
        <f>858633.78</f>
        <v>858633.78</v>
      </c>
      <c r="P48" s="23">
        <f>264153.29</f>
        <v>264153.28999999998</v>
      </c>
      <c r="Q48" s="23">
        <f>594480.49</f>
        <v>594480.49</v>
      </c>
    </row>
    <row r="49" spans="1:17" ht="25.5" customHeight="1" x14ac:dyDescent="0.2">
      <c r="A49" s="18" t="s">
        <v>36</v>
      </c>
      <c r="B49" s="24">
        <f>160652691.1</f>
        <v>160652691.09999999</v>
      </c>
      <c r="C49" s="24">
        <f>160633293.76</f>
        <v>160633293.75999999</v>
      </c>
      <c r="D49" s="24">
        <f>2592059.97</f>
        <v>2592059.9700000002</v>
      </c>
      <c r="E49" s="24">
        <f>48294.15</f>
        <v>48294.15</v>
      </c>
      <c r="F49" s="24">
        <f>313904.19</f>
        <v>313904.19</v>
      </c>
      <c r="G49" s="24">
        <f>2228021.63</f>
        <v>2228021.63</v>
      </c>
      <c r="H49" s="24">
        <f>1840</f>
        <v>1840</v>
      </c>
      <c r="I49" s="24">
        <f>0</f>
        <v>0</v>
      </c>
      <c r="J49" s="24">
        <f>731558.73</f>
        <v>731558.73</v>
      </c>
      <c r="K49" s="24">
        <f>118624.79</f>
        <v>118624.79</v>
      </c>
      <c r="L49" s="24">
        <f>63568365.29</f>
        <v>63568365.289999999</v>
      </c>
      <c r="M49" s="24">
        <f>92591637.72</f>
        <v>92591637.719999999</v>
      </c>
      <c r="N49" s="24">
        <f>1031047.26</f>
        <v>1031047.26</v>
      </c>
      <c r="O49" s="24">
        <f>19397.34</f>
        <v>19397.34</v>
      </c>
      <c r="P49" s="24">
        <f>19397.34</f>
        <v>19397.34</v>
      </c>
      <c r="Q49" s="24">
        <f>0</f>
        <v>0</v>
      </c>
    </row>
    <row r="50" spans="1:17" ht="25.5" customHeight="1" x14ac:dyDescent="0.2">
      <c r="A50" s="18" t="s">
        <v>37</v>
      </c>
      <c r="B50" s="24">
        <f>648032837.35</f>
        <v>648032837.35000002</v>
      </c>
      <c r="C50" s="24">
        <f>647193600.91</f>
        <v>647193600.90999997</v>
      </c>
      <c r="D50" s="24">
        <f>21080336.99</f>
        <v>21080336.989999998</v>
      </c>
      <c r="E50" s="24">
        <f>7489690.33</f>
        <v>7489690.3300000001</v>
      </c>
      <c r="F50" s="24">
        <f>1411.02</f>
        <v>1411.02</v>
      </c>
      <c r="G50" s="24">
        <f>13583956.87</f>
        <v>13583956.869999999</v>
      </c>
      <c r="H50" s="24">
        <f>5278.77</f>
        <v>5278.77</v>
      </c>
      <c r="I50" s="24">
        <f>0</f>
        <v>0</v>
      </c>
      <c r="J50" s="24">
        <f>3002625.15</f>
        <v>3002625.15</v>
      </c>
      <c r="K50" s="24">
        <f>218767.44</f>
        <v>218767.44</v>
      </c>
      <c r="L50" s="24">
        <f>171196824.61</f>
        <v>171196824.61000001</v>
      </c>
      <c r="M50" s="24">
        <f>450049443.77</f>
        <v>450049443.76999998</v>
      </c>
      <c r="N50" s="24">
        <f>1645602.95</f>
        <v>1645602.95</v>
      </c>
      <c r="O50" s="24">
        <f>839236.44</f>
        <v>839236.44</v>
      </c>
      <c r="P50" s="24">
        <f>244755.95</f>
        <v>244755.95</v>
      </c>
      <c r="Q50" s="24">
        <f>594480.49</f>
        <v>594480.49</v>
      </c>
    </row>
    <row r="51" spans="1:17" ht="30" customHeight="1" x14ac:dyDescent="0.2">
      <c r="A51" s="25" t="s">
        <v>44</v>
      </c>
      <c r="B51" s="23">
        <f>694616628.14</f>
        <v>694616628.13999999</v>
      </c>
      <c r="C51" s="23">
        <f>694603290.95</f>
        <v>694603290.95000005</v>
      </c>
      <c r="D51" s="23">
        <f>215118697.98</f>
        <v>215118697.97999999</v>
      </c>
      <c r="E51" s="23">
        <f>26306968.22</f>
        <v>26306968.219999999</v>
      </c>
      <c r="F51" s="23">
        <f>1837410.22</f>
        <v>1837410.22</v>
      </c>
      <c r="G51" s="23">
        <f>179615713.47</f>
        <v>179615713.47</v>
      </c>
      <c r="H51" s="23">
        <f>7358606.07</f>
        <v>7358606.0700000003</v>
      </c>
      <c r="I51" s="23">
        <f>0</f>
        <v>0</v>
      </c>
      <c r="J51" s="23">
        <f>265782.37</f>
        <v>265782.37</v>
      </c>
      <c r="K51" s="23">
        <f>8641794.53</f>
        <v>8641794.5299999993</v>
      </c>
      <c r="L51" s="23">
        <f>382420140.61</f>
        <v>382420140.61000001</v>
      </c>
      <c r="M51" s="23">
        <f>85791925.03</f>
        <v>85791925.030000001</v>
      </c>
      <c r="N51" s="23">
        <f>2364950.43</f>
        <v>2364950.4300000002</v>
      </c>
      <c r="O51" s="23">
        <f>13337.19</f>
        <v>13337.19</v>
      </c>
      <c r="P51" s="23">
        <f>8537.19</f>
        <v>8537.19</v>
      </c>
      <c r="Q51" s="23">
        <f>4800</f>
        <v>4800</v>
      </c>
    </row>
    <row r="52" spans="1:17" ht="31.5" customHeight="1" x14ac:dyDescent="0.2">
      <c r="A52" s="18" t="s">
        <v>38</v>
      </c>
      <c r="B52" s="24">
        <f>72103499.36</f>
        <v>72103499.359999999</v>
      </c>
      <c r="C52" s="24">
        <f>72090642.17</f>
        <v>72090642.170000002</v>
      </c>
      <c r="D52" s="24">
        <f>27296838.1</f>
        <v>27296838.100000001</v>
      </c>
      <c r="E52" s="24">
        <f>1002339.13</f>
        <v>1002339.13</v>
      </c>
      <c r="F52" s="24">
        <f>196982.17</f>
        <v>196982.17</v>
      </c>
      <c r="G52" s="24">
        <f>24696007.18</f>
        <v>24696007.18</v>
      </c>
      <c r="H52" s="24">
        <f>1401509.62</f>
        <v>1401509.62</v>
      </c>
      <c r="I52" s="24">
        <f>0</f>
        <v>0</v>
      </c>
      <c r="J52" s="24">
        <f>153187.6</f>
        <v>153187.6</v>
      </c>
      <c r="K52" s="24">
        <f>195880.66</f>
        <v>195880.66</v>
      </c>
      <c r="L52" s="24">
        <f>22731470.26</f>
        <v>22731470.260000002</v>
      </c>
      <c r="M52" s="24">
        <f>20630900.17</f>
        <v>20630900.170000002</v>
      </c>
      <c r="N52" s="24">
        <f>1082365.38</f>
        <v>1082365.3799999999</v>
      </c>
      <c r="O52" s="24">
        <f>12857.19</f>
        <v>12857.19</v>
      </c>
      <c r="P52" s="24">
        <f>8537.19</f>
        <v>8537.19</v>
      </c>
      <c r="Q52" s="24">
        <f>4320</f>
        <v>4320</v>
      </c>
    </row>
    <row r="53" spans="1:17" ht="35.25" customHeight="1" x14ac:dyDescent="0.2">
      <c r="A53" s="18" t="s">
        <v>80</v>
      </c>
      <c r="B53" s="24">
        <f>951254.37</f>
        <v>951254.37</v>
      </c>
      <c r="C53" s="24">
        <f>951254.37</f>
        <v>951254.37</v>
      </c>
      <c r="D53" s="24">
        <f>838568.4</f>
        <v>838568.4</v>
      </c>
      <c r="E53" s="24">
        <f>424449.95</f>
        <v>424449.95</v>
      </c>
      <c r="F53" s="24">
        <f>68.92</f>
        <v>68.92</v>
      </c>
      <c r="G53" s="24">
        <f>191844.11</f>
        <v>191844.11</v>
      </c>
      <c r="H53" s="24">
        <f>222205.42</f>
        <v>222205.42</v>
      </c>
      <c r="I53" s="24">
        <f>0</f>
        <v>0</v>
      </c>
      <c r="J53" s="24">
        <f>0</f>
        <v>0</v>
      </c>
      <c r="K53" s="24">
        <f>1921.01</f>
        <v>1921.01</v>
      </c>
      <c r="L53" s="24">
        <f>6595.16</f>
        <v>6595.16</v>
      </c>
      <c r="M53" s="24">
        <f>102952.01</f>
        <v>102952.01</v>
      </c>
      <c r="N53" s="24">
        <f>1217.79</f>
        <v>1217.79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621561874.41</f>
        <v>621561874.40999997</v>
      </c>
      <c r="C54" s="24">
        <f>621561394.41</f>
        <v>621561394.40999997</v>
      </c>
      <c r="D54" s="24">
        <f>186983291.48</f>
        <v>186983291.47999999</v>
      </c>
      <c r="E54" s="24">
        <f>24880179.14</f>
        <v>24880179.140000001</v>
      </c>
      <c r="F54" s="24">
        <f>1640359.13</f>
        <v>1640359.13</v>
      </c>
      <c r="G54" s="24">
        <f>154727862.18</f>
        <v>154727862.18000001</v>
      </c>
      <c r="H54" s="24">
        <f>5734891.03</f>
        <v>5734891.0300000003</v>
      </c>
      <c r="I54" s="24">
        <f>0</f>
        <v>0</v>
      </c>
      <c r="J54" s="24">
        <f>112594.77</f>
        <v>112594.77</v>
      </c>
      <c r="K54" s="24">
        <f>8443992.86</f>
        <v>8443992.8599999994</v>
      </c>
      <c r="L54" s="24">
        <f>359682075.19</f>
        <v>359682075.19</v>
      </c>
      <c r="M54" s="24">
        <f>65058072.85</f>
        <v>65058072.850000001</v>
      </c>
      <c r="N54" s="24">
        <f>1281367.26</f>
        <v>1281367.26</v>
      </c>
      <c r="O54" s="24">
        <f>480</f>
        <v>480</v>
      </c>
      <c r="P54" s="24">
        <f>0</f>
        <v>0</v>
      </c>
      <c r="Q54" s="24">
        <f>480</f>
        <v>480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III Kwartały 2023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523298461.3</f>
        <v>523298461.30000001</v>
      </c>
      <c r="G73" s="26">
        <f>296867985.74</f>
        <v>296867985.74000001</v>
      </c>
      <c r="H73" s="26">
        <f>18981756.05</f>
        <v>18981756.050000001</v>
      </c>
      <c r="I73" s="26">
        <f>37475650.21</f>
        <v>37475650.210000001</v>
      </c>
      <c r="J73" s="26">
        <f>217875255.96</f>
        <v>217875255.96000001</v>
      </c>
      <c r="K73" s="26">
        <f>22535323.52</f>
        <v>22535323.52</v>
      </c>
      <c r="L73" s="26">
        <f>226430475.56</f>
        <v>226430475.56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40266147.57</f>
        <v>40266147.57</v>
      </c>
      <c r="G75" s="26">
        <f>10432336.09</f>
        <v>10432336.09</v>
      </c>
      <c r="H75" s="26">
        <f>0</f>
        <v>0</v>
      </c>
      <c r="I75" s="26">
        <f>0</f>
        <v>0</v>
      </c>
      <c r="J75" s="26">
        <f>10432336.09</f>
        <v>10432336.09</v>
      </c>
      <c r="K75" s="26">
        <f>0</f>
        <v>0</v>
      </c>
      <c r="L75" s="26">
        <f>29833811.48</f>
        <v>29833811.48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32927606.67</f>
        <v>32927606.670000002</v>
      </c>
      <c r="G76" s="26">
        <f>16594790.12</f>
        <v>16594790.119999999</v>
      </c>
      <c r="H76" s="26">
        <f>0</f>
        <v>0</v>
      </c>
      <c r="I76" s="26">
        <f>0</f>
        <v>0</v>
      </c>
      <c r="J76" s="26">
        <f>16594790.12</f>
        <v>16594790.119999999</v>
      </c>
      <c r="K76" s="26">
        <f>0</f>
        <v>0</v>
      </c>
      <c r="L76" s="26">
        <f>16332816.55</f>
        <v>16332816.550000001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17539034.85</f>
        <v>17539034.850000001</v>
      </c>
      <c r="G77" s="26">
        <f>10972430.71</f>
        <v>10972430.710000001</v>
      </c>
      <c r="H77" s="26">
        <f>0</f>
        <v>0</v>
      </c>
      <c r="I77" s="26">
        <f>0</f>
        <v>0</v>
      </c>
      <c r="J77" s="26">
        <f>10972430.71</f>
        <v>10972430.710000001</v>
      </c>
      <c r="K77" s="26">
        <f>0</f>
        <v>0</v>
      </c>
      <c r="L77" s="26">
        <f>6566604.14</f>
        <v>6566604.1399999997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629166.5</f>
        <v>629166.5</v>
      </c>
      <c r="G78" s="26">
        <f>329166.5</f>
        <v>329166.5</v>
      </c>
      <c r="H78" s="26">
        <f>0</f>
        <v>0</v>
      </c>
      <c r="I78" s="26">
        <f>0</f>
        <v>0</v>
      </c>
      <c r="J78" s="26">
        <f>329166.5</f>
        <v>329166.5</v>
      </c>
      <c r="K78" s="26">
        <f>0</f>
        <v>0</v>
      </c>
      <c r="L78" s="26">
        <f>300000</f>
        <v>300000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III Kwartały 2023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240</f>
        <v>240</v>
      </c>
      <c r="H85" s="63"/>
      <c r="I85" s="64">
        <f>2038208587.25</f>
        <v>2038208587.25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74</f>
        <v>74</v>
      </c>
      <c r="H86" s="73"/>
      <c r="I86" s="74">
        <f>-357174199.29</f>
        <v>-357174199.29000002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3</f>
        <v>3</v>
      </c>
      <c r="C90" s="8" t="str">
        <f>IF(B90=1,"I Kwartał",IF(B90=2,"II Kwartały",IF(B90=3,"III Kwartały",IF(B90=4,"IV Kwartały","-"))))</f>
        <v>III Kwartały</v>
      </c>
    </row>
    <row r="91" spans="1:13" ht="13.5" customHeight="1" x14ac:dyDescent="0.2">
      <c r="A91" s="8" t="s">
        <v>9</v>
      </c>
      <c r="B91" s="8">
        <f>2023</f>
        <v>2023</v>
      </c>
      <c r="C91" s="9"/>
    </row>
    <row r="92" spans="1:13" ht="13.5" customHeight="1" x14ac:dyDescent="0.2">
      <c r="A92" s="8" t="s">
        <v>10</v>
      </c>
      <c r="B92" s="10" t="str">
        <f>"Nov 14 2023 12:00AM"</f>
        <v>Nov 14 2023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2023-11-27T09:47:45Z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2023-11-27T10:47:43.2757415+01:00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GRN-82f3b935-28db-4914-be4b-fbca279ec89f</vt:lpwstr>
  </property>
  <property fmtid="{D5CDD505-2E9C-101B-9397-08002B2CF9AE}" pid="7" name="MFHash">
    <vt:lpwstr>OEWRRcLVzqJEBgvSaL77wUdM6ci0UkKWrPfg6hoBar4=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