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klimczak\Desktop\"/>
    </mc:Choice>
  </mc:AlternateContent>
  <bookViews>
    <workbookView xWindow="0" yWindow="0" windowWidth="19440" windowHeight="1183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WarmińskoMazurski!$A$6:$C$66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CENTRALA!$A$1:$F$67</definedName>
    <definedName name="_xlnm.Print_Area" localSheetId="3">Dolnośląski!$A$1:$F$67</definedName>
    <definedName name="_xlnm.Print_Area" localSheetId="4">KujawskoPomorski!$A$1:$F$67</definedName>
    <definedName name="_xlnm.Print_Area" localSheetId="5">Lubelski!$A$1:$F$67</definedName>
    <definedName name="_xlnm.Print_Area" localSheetId="6">Lubuski!$A$1:$F$67</definedName>
    <definedName name="_xlnm.Print_Area" localSheetId="7">Łódzki!$A$1:$F$67</definedName>
    <definedName name="_xlnm.Print_Area" localSheetId="8">Małopolski!$A$1:$F$67</definedName>
    <definedName name="_xlnm.Print_Area" localSheetId="9">Mazowiecki!$A$1:$F$67</definedName>
    <definedName name="_xlnm.Print_Area" localSheetId="0">NFZ!$A$1:$F$95</definedName>
    <definedName name="_xlnm.Print_Area" localSheetId="10">Opolski!$A$1:$F$67</definedName>
    <definedName name="_xlnm.Print_Area" localSheetId="11">Podkarpacki!$A$1:$F$67</definedName>
    <definedName name="_xlnm.Print_Area" localSheetId="12">Podlaski!$A$1:$F$67</definedName>
    <definedName name="_xlnm.Print_Area" localSheetId="13">Pomorski!$A$1:$F$67</definedName>
    <definedName name="_xlnm.Print_Area" localSheetId="2">'Razem OW'!$A$1:$F$67</definedName>
    <definedName name="_xlnm.Print_Area" localSheetId="14">Śląski!$A$1:$F$67</definedName>
    <definedName name="_xlnm.Print_Area" localSheetId="15">Świętokrzyski!$A$1:$F$67</definedName>
    <definedName name="_xlnm.Print_Area" localSheetId="16">WarmińskoMazurski!$A$1:$F$67</definedName>
    <definedName name="_xlnm.Print_Area" localSheetId="17">Wielkopolski!$A$1:$F$67</definedName>
    <definedName name="_xlnm.Print_Area" localSheetId="18">Zachodniopomorski!$A$1:$F$67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calcMode="manual" fullPrecision="0"/>
</workbook>
</file>

<file path=xl/calcChain.xml><?xml version="1.0" encoding="utf-8"?>
<calcChain xmlns="http://schemas.openxmlformats.org/spreadsheetml/2006/main">
  <c r="C67" i="3" l="1"/>
  <c r="C66" i="3"/>
  <c r="C65" i="3"/>
  <c r="C64" i="3"/>
  <c r="C63" i="3"/>
  <c r="C61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3" i="3"/>
  <c r="C42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7" i="5"/>
  <c r="C66" i="5"/>
  <c r="C65" i="5"/>
  <c r="C64" i="5"/>
  <c r="C63" i="5"/>
  <c r="C61" i="5"/>
  <c r="C60" i="5"/>
  <c r="C59" i="5"/>
  <c r="C58" i="5"/>
  <c r="C57" i="5"/>
  <c r="C56" i="5"/>
  <c r="C55" i="5"/>
  <c r="C53" i="5"/>
  <c r="C52" i="5"/>
  <c r="C51" i="5"/>
  <c r="C50" i="5"/>
  <c r="C49" i="5"/>
  <c r="C48" i="5"/>
  <c r="C47" i="5"/>
  <c r="C46" i="5"/>
  <c r="C45" i="5"/>
  <c r="C43" i="5"/>
  <c r="C42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7" i="6"/>
  <c r="C66" i="6"/>
  <c r="C65" i="6"/>
  <c r="C64" i="6"/>
  <c r="C63" i="6"/>
  <c r="C61" i="6"/>
  <c r="C60" i="6"/>
  <c r="C59" i="6"/>
  <c r="C58" i="6"/>
  <c r="C57" i="6"/>
  <c r="C56" i="6"/>
  <c r="C55" i="6"/>
  <c r="C53" i="6"/>
  <c r="C52" i="6"/>
  <c r="C51" i="6"/>
  <c r="C50" i="6"/>
  <c r="C49" i="6"/>
  <c r="C48" i="6"/>
  <c r="C47" i="6"/>
  <c r="C46" i="6"/>
  <c r="C45" i="6"/>
  <c r="C43" i="6"/>
  <c r="C42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7" i="7"/>
  <c r="C66" i="7"/>
  <c r="C65" i="7"/>
  <c r="C64" i="7"/>
  <c r="C63" i="7"/>
  <c r="C61" i="7"/>
  <c r="C60" i="7"/>
  <c r="C59" i="7"/>
  <c r="C58" i="7"/>
  <c r="C57" i="7"/>
  <c r="C56" i="7"/>
  <c r="C55" i="7"/>
  <c r="C53" i="7"/>
  <c r="C52" i="7"/>
  <c r="C51" i="7"/>
  <c r="C50" i="7"/>
  <c r="C49" i="7"/>
  <c r="C48" i="7"/>
  <c r="C47" i="7"/>
  <c r="C46" i="7"/>
  <c r="C45" i="7"/>
  <c r="C43" i="7"/>
  <c r="C42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7" i="8"/>
  <c r="C66" i="8"/>
  <c r="C65" i="8"/>
  <c r="C64" i="8"/>
  <c r="C63" i="8"/>
  <c r="C61" i="8"/>
  <c r="C60" i="8"/>
  <c r="C59" i="8"/>
  <c r="C58" i="8"/>
  <c r="C57" i="8"/>
  <c r="C56" i="8"/>
  <c r="C55" i="8"/>
  <c r="C53" i="8"/>
  <c r="C52" i="8"/>
  <c r="C51" i="8"/>
  <c r="C50" i="8"/>
  <c r="C49" i="8"/>
  <c r="C48" i="8"/>
  <c r="C47" i="8"/>
  <c r="C46" i="8"/>
  <c r="C45" i="8"/>
  <c r="C43" i="8"/>
  <c r="C42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7" i="9"/>
  <c r="C66" i="9"/>
  <c r="C65" i="9"/>
  <c r="C64" i="9"/>
  <c r="C63" i="9"/>
  <c r="C61" i="9"/>
  <c r="C60" i="9"/>
  <c r="C59" i="9"/>
  <c r="C58" i="9"/>
  <c r="C57" i="9"/>
  <c r="C56" i="9"/>
  <c r="C55" i="9"/>
  <c r="C53" i="9"/>
  <c r="C52" i="9"/>
  <c r="C51" i="9"/>
  <c r="C50" i="9"/>
  <c r="C49" i="9"/>
  <c r="C48" i="9"/>
  <c r="C47" i="9"/>
  <c r="C46" i="9"/>
  <c r="C45" i="9"/>
  <c r="C43" i="9"/>
  <c r="C42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7" i="10"/>
  <c r="C66" i="10"/>
  <c r="C65" i="10"/>
  <c r="C64" i="10"/>
  <c r="C63" i="10"/>
  <c r="C61" i="10"/>
  <c r="C60" i="10"/>
  <c r="C59" i="10"/>
  <c r="C58" i="10"/>
  <c r="C57" i="10"/>
  <c r="C56" i="10"/>
  <c r="C55" i="10"/>
  <c r="C53" i="10"/>
  <c r="C52" i="10"/>
  <c r="C51" i="10"/>
  <c r="C50" i="10"/>
  <c r="C49" i="10"/>
  <c r="C48" i="10"/>
  <c r="C47" i="10"/>
  <c r="C46" i="10"/>
  <c r="C45" i="10"/>
  <c r="C43" i="10"/>
  <c r="C42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7" i="11"/>
  <c r="C66" i="11"/>
  <c r="C65" i="11"/>
  <c r="C64" i="11"/>
  <c r="C63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3" i="11"/>
  <c r="C42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7" i="12"/>
  <c r="C66" i="12"/>
  <c r="C65" i="12"/>
  <c r="C64" i="12"/>
  <c r="C63" i="12"/>
  <c r="C61" i="12"/>
  <c r="C60" i="12"/>
  <c r="C59" i="12"/>
  <c r="C58" i="12"/>
  <c r="C57" i="12"/>
  <c r="C56" i="12"/>
  <c r="C55" i="12"/>
  <c r="C53" i="12"/>
  <c r="C52" i="12"/>
  <c r="C51" i="12"/>
  <c r="C50" i="12"/>
  <c r="C49" i="12"/>
  <c r="C48" i="12"/>
  <c r="C47" i="12"/>
  <c r="C46" i="12"/>
  <c r="C45" i="12"/>
  <c r="C43" i="12"/>
  <c r="C42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7" i="13"/>
  <c r="C66" i="13"/>
  <c r="C65" i="13"/>
  <c r="C64" i="13"/>
  <c r="C63" i="13"/>
  <c r="C61" i="13"/>
  <c r="C60" i="13"/>
  <c r="C59" i="13"/>
  <c r="C58" i="13"/>
  <c r="C57" i="13"/>
  <c r="C56" i="13"/>
  <c r="C55" i="13"/>
  <c r="C53" i="13"/>
  <c r="C52" i="13"/>
  <c r="C51" i="13"/>
  <c r="C50" i="13"/>
  <c r="C49" i="13"/>
  <c r="C48" i="13"/>
  <c r="C47" i="13"/>
  <c r="C46" i="13"/>
  <c r="C45" i="13"/>
  <c r="C43" i="13"/>
  <c r="C42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7" i="14"/>
  <c r="C66" i="14"/>
  <c r="C65" i="14"/>
  <c r="C64" i="14"/>
  <c r="C63" i="14"/>
  <c r="C61" i="14"/>
  <c r="C60" i="14"/>
  <c r="C59" i="14"/>
  <c r="C58" i="14"/>
  <c r="C57" i="14"/>
  <c r="C56" i="14"/>
  <c r="C55" i="14"/>
  <c r="C53" i="14"/>
  <c r="C52" i="14"/>
  <c r="C51" i="14"/>
  <c r="C50" i="14"/>
  <c r="C49" i="14"/>
  <c r="C48" i="14"/>
  <c r="C47" i="14"/>
  <c r="C46" i="14"/>
  <c r="C45" i="14"/>
  <c r="C43" i="14"/>
  <c r="C42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7" i="15"/>
  <c r="C66" i="15"/>
  <c r="C65" i="15"/>
  <c r="C64" i="15"/>
  <c r="C63" i="15"/>
  <c r="C61" i="15"/>
  <c r="C60" i="15"/>
  <c r="C59" i="15"/>
  <c r="C58" i="15"/>
  <c r="C57" i="15"/>
  <c r="C56" i="15"/>
  <c r="C55" i="15"/>
  <c r="C53" i="15"/>
  <c r="C52" i="15"/>
  <c r="C51" i="15"/>
  <c r="C50" i="15"/>
  <c r="C49" i="15"/>
  <c r="C48" i="15"/>
  <c r="C47" i="15"/>
  <c r="C46" i="15"/>
  <c r="C45" i="15"/>
  <c r="C43" i="15"/>
  <c r="C42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7" i="16"/>
  <c r="C66" i="16"/>
  <c r="C65" i="16"/>
  <c r="C64" i="16"/>
  <c r="C63" i="16"/>
  <c r="C61" i="16"/>
  <c r="C60" i="16"/>
  <c r="C59" i="16"/>
  <c r="C58" i="16"/>
  <c r="C57" i="16"/>
  <c r="C56" i="16"/>
  <c r="C55" i="16"/>
  <c r="C53" i="16"/>
  <c r="C52" i="16"/>
  <c r="C51" i="16"/>
  <c r="C50" i="16"/>
  <c r="C49" i="16"/>
  <c r="C48" i="16"/>
  <c r="C47" i="16"/>
  <c r="C46" i="16"/>
  <c r="C45" i="16"/>
  <c r="C43" i="16"/>
  <c r="C42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7" i="17"/>
  <c r="C66" i="17"/>
  <c r="C65" i="17"/>
  <c r="C64" i="17"/>
  <c r="C63" i="17"/>
  <c r="C61" i="17"/>
  <c r="C60" i="17"/>
  <c r="C59" i="17"/>
  <c r="C58" i="17"/>
  <c r="C57" i="17"/>
  <c r="C56" i="17"/>
  <c r="C55" i="17"/>
  <c r="C53" i="17"/>
  <c r="C52" i="17"/>
  <c r="C51" i="17"/>
  <c r="C50" i="17"/>
  <c r="C49" i="17"/>
  <c r="C48" i="17"/>
  <c r="C47" i="17"/>
  <c r="C46" i="17"/>
  <c r="C45" i="17"/>
  <c r="C43" i="17"/>
  <c r="C42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7" i="18"/>
  <c r="C66" i="18"/>
  <c r="C65" i="18"/>
  <c r="C64" i="18"/>
  <c r="C63" i="18"/>
  <c r="C61" i="18"/>
  <c r="C60" i="18"/>
  <c r="C59" i="18"/>
  <c r="C58" i="18"/>
  <c r="C57" i="18"/>
  <c r="C56" i="18"/>
  <c r="C55" i="18"/>
  <c r="C53" i="18"/>
  <c r="C52" i="18"/>
  <c r="C51" i="18"/>
  <c r="C50" i="18"/>
  <c r="C49" i="18"/>
  <c r="C48" i="18"/>
  <c r="C47" i="18"/>
  <c r="C46" i="18"/>
  <c r="C45" i="18"/>
  <c r="C43" i="18"/>
  <c r="C42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7" i="19"/>
  <c r="C66" i="19"/>
  <c r="C65" i="19"/>
  <c r="C64" i="19"/>
  <c r="C63" i="19"/>
  <c r="C61" i="19"/>
  <c r="C60" i="19"/>
  <c r="C59" i="19"/>
  <c r="C58" i="19"/>
  <c r="C57" i="19"/>
  <c r="C56" i="19"/>
  <c r="C55" i="19"/>
  <c r="C53" i="19"/>
  <c r="C52" i="19"/>
  <c r="C51" i="19"/>
  <c r="C50" i="19"/>
  <c r="C49" i="19"/>
  <c r="C48" i="19"/>
  <c r="C47" i="19"/>
  <c r="C46" i="19"/>
  <c r="C45" i="19"/>
  <c r="C43" i="19"/>
  <c r="C42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7" i="22"/>
  <c r="C66" i="22"/>
  <c r="C65" i="22"/>
  <c r="C64" i="22"/>
  <c r="C63" i="22"/>
  <c r="C61" i="22"/>
  <c r="C60" i="22"/>
  <c r="C59" i="22"/>
  <c r="C58" i="22"/>
  <c r="C57" i="22"/>
  <c r="C56" i="22"/>
  <c r="C55" i="22"/>
  <c r="C53" i="22"/>
  <c r="C52" i="22"/>
  <c r="C51" i="22"/>
  <c r="C50" i="22"/>
  <c r="C49" i="22"/>
  <c r="C48" i="22"/>
  <c r="C47" i="22"/>
  <c r="C46" i="22"/>
  <c r="C45" i="22"/>
  <c r="C43" i="22"/>
  <c r="C42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1" i="23"/>
  <c r="C90" i="23"/>
  <c r="C83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D32" i="7" l="1"/>
  <c r="D9" i="7"/>
  <c r="D32" i="10"/>
  <c r="D29" i="10"/>
  <c r="D9" i="10"/>
  <c r="D32" i="12"/>
  <c r="D29" i="12"/>
  <c r="D23" i="12"/>
  <c r="D22" i="12"/>
  <c r="D21" i="12"/>
  <c r="D18" i="12"/>
  <c r="D17" i="12"/>
  <c r="D16" i="12"/>
  <c r="D15" i="12"/>
  <c r="D14" i="12"/>
  <c r="D12" i="12"/>
  <c r="D11" i="12"/>
  <c r="D10" i="12"/>
  <c r="D9" i="12"/>
  <c r="D8" i="12"/>
  <c r="D7" i="12"/>
  <c r="D32" i="18"/>
  <c r="D22" i="18"/>
  <c r="D18" i="18"/>
  <c r="D17" i="18"/>
  <c r="D16" i="18"/>
  <c r="D15" i="18"/>
  <c r="D14" i="18"/>
  <c r="D12" i="18"/>
  <c r="D10" i="18"/>
  <c r="D9" i="18"/>
  <c r="D8" i="18"/>
  <c r="D29" i="3" l="1"/>
  <c r="D9" i="3"/>
  <c r="D29" i="5"/>
  <c r="D9" i="5"/>
  <c r="D29" i="6"/>
  <c r="D9" i="6"/>
  <c r="D29" i="8"/>
  <c r="D9" i="8"/>
  <c r="D29" i="13"/>
  <c r="D9" i="13"/>
  <c r="D29" i="14"/>
  <c r="D9" i="14"/>
  <c r="D11" i="14"/>
  <c r="D29" i="18"/>
  <c r="D24" i="3"/>
  <c r="D24" i="6"/>
  <c r="D29" i="7"/>
  <c r="D24" i="7"/>
  <c r="D24" i="8"/>
  <c r="D24" i="10"/>
  <c r="D24" i="13"/>
  <c r="D29" i="15"/>
  <c r="D24" i="15"/>
  <c r="D29" i="16"/>
  <c r="D24" i="16"/>
  <c r="D10" i="3"/>
  <c r="D25" i="7"/>
  <c r="D11" i="3"/>
  <c r="D25" i="3"/>
  <c r="D12" i="3"/>
  <c r="D13" i="3"/>
  <c r="D13" i="5"/>
  <c r="D12" i="5"/>
  <c r="D11" i="5"/>
  <c r="D10" i="5"/>
  <c r="D25" i="6"/>
  <c r="D13" i="6"/>
  <c r="D12" i="6"/>
  <c r="D11" i="6"/>
  <c r="D10" i="6"/>
  <c r="D25" i="8"/>
  <c r="D10" i="8"/>
  <c r="D11" i="8"/>
  <c r="D30" i="10"/>
  <c r="D25" i="10"/>
  <c r="D25" i="16"/>
  <c r="D25" i="15"/>
  <c r="D25" i="13"/>
  <c r="D13" i="13"/>
  <c r="D12" i="13"/>
  <c r="D11" i="13"/>
  <c r="D10" i="13"/>
  <c r="D12" i="14"/>
  <c r="D13" i="14"/>
  <c r="D10" i="14"/>
  <c r="D11" i="18"/>
  <c r="D23" i="15" l="1"/>
  <c r="D35" i="13" l="1"/>
  <c r="D22" i="13"/>
  <c r="D21" i="13"/>
  <c r="D18" i="13"/>
  <c r="D17" i="13"/>
  <c r="D16" i="13"/>
  <c r="D15" i="13"/>
  <c r="D14" i="13"/>
  <c r="D8" i="13"/>
  <c r="D7" i="13"/>
  <c r="D35" i="8" l="1"/>
  <c r="D22" i="8"/>
  <c r="D21" i="8"/>
  <c r="D20" i="8"/>
  <c r="D19" i="8"/>
  <c r="D18" i="8"/>
  <c r="D17" i="8"/>
  <c r="D16" i="8"/>
  <c r="D15" i="8"/>
  <c r="D14" i="8"/>
  <c r="D12" i="8"/>
  <c r="D8" i="8"/>
  <c r="D7" i="8"/>
  <c r="D35" i="6"/>
  <c r="D26" i="6"/>
  <c r="D22" i="6"/>
  <c r="D21" i="6"/>
  <c r="D20" i="6"/>
  <c r="D19" i="6"/>
  <c r="D18" i="6"/>
  <c r="D17" i="6"/>
  <c r="D16" i="6"/>
  <c r="D15" i="6"/>
  <c r="D14" i="6"/>
  <c r="D8" i="6"/>
  <c r="D7" i="6"/>
  <c r="D35" i="11"/>
  <c r="D22" i="11"/>
  <c r="D21" i="11"/>
  <c r="D19" i="11"/>
  <c r="D18" i="11"/>
  <c r="D17" i="11"/>
  <c r="D16" i="11"/>
  <c r="D15" i="11"/>
  <c r="D14" i="11"/>
  <c r="D12" i="11"/>
  <c r="D10" i="11"/>
  <c r="D9" i="11"/>
  <c r="D8" i="11"/>
  <c r="D7" i="11"/>
  <c r="D35" i="14"/>
  <c r="D23" i="14"/>
  <c r="D22" i="14"/>
  <c r="D19" i="14"/>
  <c r="D18" i="14"/>
  <c r="D17" i="14"/>
  <c r="D16" i="14"/>
  <c r="D15" i="14"/>
  <c r="D8" i="14"/>
  <c r="D7" i="14"/>
  <c r="D35" i="9"/>
  <c r="D22" i="9"/>
  <c r="D21" i="9"/>
  <c r="D20" i="9"/>
  <c r="D18" i="9"/>
  <c r="D17" i="9"/>
  <c r="D16" i="9"/>
  <c r="D15" i="9"/>
  <c r="D14" i="9"/>
  <c r="D10" i="9"/>
  <c r="D9" i="9"/>
  <c r="D8" i="9"/>
  <c r="D7" i="9"/>
  <c r="D23" i="5"/>
  <c r="D22" i="5"/>
  <c r="D21" i="5"/>
  <c r="D20" i="5"/>
  <c r="D19" i="5"/>
  <c r="D18" i="5"/>
  <c r="D17" i="5"/>
  <c r="D16" i="5"/>
  <c r="D15" i="5"/>
  <c r="D14" i="5"/>
  <c r="D8" i="5"/>
  <c r="D7" i="5"/>
  <c r="D22" i="15"/>
  <c r="D21" i="15"/>
  <c r="D20" i="15"/>
  <c r="D19" i="15"/>
  <c r="D18" i="15"/>
  <c r="D17" i="15"/>
  <c r="D16" i="15"/>
  <c r="D15" i="15"/>
  <c r="D14" i="15"/>
  <c r="D12" i="15"/>
  <c r="D10" i="15"/>
  <c r="D9" i="15"/>
  <c r="D8" i="15"/>
  <c r="D7" i="15"/>
  <c r="D35" i="16"/>
  <c r="D22" i="16"/>
  <c r="D21" i="16"/>
  <c r="D20" i="16"/>
  <c r="D18" i="16"/>
  <c r="D17" i="16"/>
  <c r="D16" i="16"/>
  <c r="D15" i="16"/>
  <c r="D14" i="16"/>
  <c r="D12" i="16"/>
  <c r="D10" i="16"/>
  <c r="D9" i="16"/>
  <c r="D8" i="16"/>
  <c r="D7" i="16"/>
  <c r="D22" i="17"/>
  <c r="D21" i="17"/>
  <c r="D20" i="17"/>
  <c r="D19" i="17"/>
  <c r="D18" i="17"/>
  <c r="D17" i="17"/>
  <c r="D16" i="17"/>
  <c r="D15" i="17"/>
  <c r="D14" i="17"/>
  <c r="D10" i="17"/>
  <c r="D9" i="17"/>
  <c r="D8" i="17"/>
  <c r="D7" i="17"/>
  <c r="D23" i="19"/>
  <c r="D22" i="19"/>
  <c r="D21" i="19"/>
  <c r="D18" i="19"/>
  <c r="D17" i="19"/>
  <c r="D16" i="19"/>
  <c r="D15" i="19"/>
  <c r="D14" i="19"/>
  <c r="D10" i="19"/>
  <c r="D9" i="19"/>
  <c r="D8" i="19"/>
  <c r="D7" i="19"/>
  <c r="D35" i="10"/>
  <c r="D22" i="10"/>
  <c r="D21" i="10"/>
  <c r="D18" i="10"/>
  <c r="D17" i="10"/>
  <c r="D16" i="10"/>
  <c r="D15" i="10"/>
  <c r="D14" i="10"/>
  <c r="D12" i="10"/>
  <c r="D10" i="10"/>
  <c r="D8" i="10"/>
  <c r="D7" i="10"/>
  <c r="D35" i="18"/>
  <c r="D23" i="18"/>
  <c r="D7" i="18"/>
  <c r="D35" i="7"/>
  <c r="D22" i="7"/>
  <c r="D17" i="7"/>
  <c r="D16" i="7"/>
  <c r="D15" i="7"/>
  <c r="D14" i="7"/>
  <c r="D8" i="7"/>
  <c r="D7" i="7"/>
  <c r="D8" i="3" l="1"/>
  <c r="D23" i="3"/>
  <c r="D22" i="3"/>
  <c r="D21" i="3"/>
  <c r="D18" i="3"/>
  <c r="D17" i="3"/>
  <c r="D16" i="3"/>
  <c r="D15" i="3"/>
  <c r="D14" i="3"/>
  <c r="D7" i="3"/>
  <c r="D7" i="22" l="1"/>
  <c r="E7" i="22" l="1"/>
  <c r="D61" i="3"/>
  <c r="D58" i="3"/>
  <c r="D56" i="3"/>
  <c r="D55" i="3"/>
  <c r="D52" i="3"/>
  <c r="D50" i="3"/>
  <c r="D43" i="3"/>
  <c r="D42" i="3"/>
  <c r="D61" i="5"/>
  <c r="D58" i="5"/>
  <c r="D56" i="5"/>
  <c r="D55" i="5"/>
  <c r="D52" i="5"/>
  <c r="D50" i="5"/>
  <c r="D43" i="5"/>
  <c r="D42" i="5"/>
  <c r="D61" i="6"/>
  <c r="D58" i="6"/>
  <c r="D56" i="6"/>
  <c r="D55" i="6"/>
  <c r="D52" i="6"/>
  <c r="D50" i="6"/>
  <c r="D43" i="6"/>
  <c r="D42" i="6"/>
  <c r="D61" i="7"/>
  <c r="D58" i="7"/>
  <c r="D56" i="7"/>
  <c r="D55" i="7"/>
  <c r="D52" i="7"/>
  <c r="D50" i="7"/>
  <c r="D43" i="7"/>
  <c r="D42" i="7"/>
  <c r="D61" i="8"/>
  <c r="D58" i="8"/>
  <c r="D56" i="8"/>
  <c r="D55" i="8"/>
  <c r="D52" i="8"/>
  <c r="D50" i="8"/>
  <c r="D43" i="8"/>
  <c r="D42" i="8"/>
  <c r="D61" i="9"/>
  <c r="D58" i="9"/>
  <c r="D56" i="9"/>
  <c r="D55" i="9"/>
  <c r="D52" i="9"/>
  <c r="D50" i="9"/>
  <c r="D43" i="9"/>
  <c r="D42" i="9"/>
  <c r="D61" i="10"/>
  <c r="D58" i="10"/>
  <c r="D56" i="10"/>
  <c r="D55" i="10"/>
  <c r="D52" i="10"/>
  <c r="D50" i="10"/>
  <c r="D43" i="10"/>
  <c r="D42" i="10"/>
  <c r="D61" i="11"/>
  <c r="D58" i="11"/>
  <c r="D56" i="11"/>
  <c r="D55" i="11"/>
  <c r="D52" i="11"/>
  <c r="D50" i="11"/>
  <c r="D43" i="11"/>
  <c r="D42" i="11"/>
  <c r="D61" i="12"/>
  <c r="D58" i="12"/>
  <c r="D56" i="12"/>
  <c r="D55" i="12"/>
  <c r="D52" i="12"/>
  <c r="D50" i="12"/>
  <c r="D43" i="12"/>
  <c r="D42" i="12"/>
  <c r="D61" i="13"/>
  <c r="D58" i="13"/>
  <c r="D56" i="13"/>
  <c r="D55" i="13"/>
  <c r="D52" i="13"/>
  <c r="D50" i="13"/>
  <c r="D43" i="13"/>
  <c r="D42" i="13"/>
  <c r="D61" i="14"/>
  <c r="D58" i="14"/>
  <c r="D56" i="14"/>
  <c r="D55" i="14"/>
  <c r="D52" i="14"/>
  <c r="D50" i="14"/>
  <c r="D43" i="14"/>
  <c r="D42" i="14"/>
  <c r="D61" i="15"/>
  <c r="D58" i="15"/>
  <c r="D56" i="15"/>
  <c r="D55" i="15"/>
  <c r="D52" i="15"/>
  <c r="D50" i="15"/>
  <c r="D43" i="15"/>
  <c r="D42" i="15"/>
  <c r="D61" i="16"/>
  <c r="D58" i="16"/>
  <c r="D56" i="16"/>
  <c r="D55" i="16"/>
  <c r="D52" i="16"/>
  <c r="D50" i="16"/>
  <c r="D43" i="16"/>
  <c r="D42" i="16"/>
  <c r="D61" i="17"/>
  <c r="D58" i="17"/>
  <c r="D56" i="17"/>
  <c r="D55" i="17"/>
  <c r="D52" i="17"/>
  <c r="D50" i="17"/>
  <c r="D43" i="17"/>
  <c r="D42" i="17"/>
  <c r="D61" i="18"/>
  <c r="D58" i="18"/>
  <c r="D56" i="18"/>
  <c r="D55" i="18"/>
  <c r="D52" i="18"/>
  <c r="D50" i="18"/>
  <c r="D43" i="18"/>
  <c r="D42" i="18"/>
  <c r="D61" i="19"/>
  <c r="D58" i="19"/>
  <c r="D56" i="19"/>
  <c r="D55" i="19"/>
  <c r="D52" i="19"/>
  <c r="D50" i="19"/>
  <c r="D43" i="19"/>
  <c r="D42" i="19"/>
  <c r="D61" i="22"/>
  <c r="D58" i="22"/>
  <c r="D56" i="22"/>
  <c r="D55" i="22"/>
  <c r="D52" i="22"/>
  <c r="D50" i="22"/>
  <c r="D43" i="22"/>
  <c r="D42" i="22"/>
  <c r="D39" i="22" l="1"/>
  <c r="D16" i="23"/>
  <c r="D17" i="23"/>
  <c r="D8" i="23"/>
  <c r="D7" i="23"/>
  <c r="F39" i="19" l="1"/>
  <c r="F39" i="18"/>
  <c r="F39" i="17"/>
  <c r="F39" i="16"/>
  <c r="F39" i="15"/>
  <c r="F39" i="14"/>
  <c r="F39" i="13"/>
  <c r="F39" i="12"/>
  <c r="F39" i="11"/>
  <c r="F39" i="10"/>
  <c r="F39" i="9"/>
  <c r="F39" i="8"/>
  <c r="F39" i="7"/>
  <c r="F39" i="6"/>
  <c r="F39" i="5"/>
  <c r="F39" i="3"/>
  <c r="F39" i="22"/>
  <c r="D39" i="19"/>
  <c r="D39" i="18"/>
  <c r="D39" i="17"/>
  <c r="D39" i="16"/>
  <c r="D39" i="15"/>
  <c r="D39" i="14"/>
  <c r="D39" i="13"/>
  <c r="D39" i="12"/>
  <c r="D39" i="11"/>
  <c r="D39" i="10"/>
  <c r="D39" i="9"/>
  <c r="D39" i="8"/>
  <c r="D39" i="7"/>
  <c r="D39" i="6"/>
  <c r="D39" i="5"/>
  <c r="D39" i="3"/>
  <c r="C39" i="20"/>
  <c r="F39" i="20" l="1"/>
  <c r="E39" i="7"/>
  <c r="E39" i="11"/>
  <c r="E39" i="15"/>
  <c r="E39" i="22"/>
  <c r="E39" i="19"/>
  <c r="E39" i="3"/>
  <c r="E39" i="8"/>
  <c r="E39" i="12"/>
  <c r="E39" i="16"/>
  <c r="C59" i="23"/>
  <c r="E39" i="5"/>
  <c r="E39" i="9"/>
  <c r="E39" i="13"/>
  <c r="E39" i="17"/>
  <c r="D39" i="20"/>
  <c r="E39" i="6"/>
  <c r="E39" i="10"/>
  <c r="E39" i="14"/>
  <c r="E39" i="18"/>
  <c r="D35" i="19"/>
  <c r="E39" i="20" l="1"/>
  <c r="E35" i="19"/>
  <c r="F35" i="10"/>
  <c r="D59" i="23"/>
  <c r="E59" i="23" s="1"/>
  <c r="D35" i="17"/>
  <c r="D35" i="3"/>
  <c r="D35" i="12"/>
  <c r="E35" i="10"/>
  <c r="D35" i="15"/>
  <c r="D35" i="5"/>
  <c r="F35" i="19"/>
  <c r="F59" i="23" l="1"/>
  <c r="F35" i="12"/>
  <c r="E35" i="9"/>
  <c r="F35" i="9"/>
  <c r="E35" i="13"/>
  <c r="F35" i="13"/>
  <c r="E35" i="15"/>
  <c r="F35" i="15"/>
  <c r="E35" i="8"/>
  <c r="F35" i="8"/>
  <c r="E35" i="12"/>
  <c r="E35" i="11"/>
  <c r="F35" i="11"/>
  <c r="E35" i="3"/>
  <c r="F35" i="3"/>
  <c r="E35" i="17"/>
  <c r="F35" i="17"/>
  <c r="E35" i="18"/>
  <c r="F35" i="18"/>
  <c r="E35" i="14"/>
  <c r="F35" i="14"/>
  <c r="E35" i="5"/>
  <c r="F35" i="5"/>
  <c r="E35" i="7"/>
  <c r="F35" i="7"/>
  <c r="E35" i="16"/>
  <c r="F35" i="16"/>
  <c r="E35" i="6"/>
  <c r="F35" i="6"/>
  <c r="C35" i="20"/>
  <c r="C55" i="23" l="1"/>
  <c r="D35" i="20"/>
  <c r="E35" i="20" s="1"/>
  <c r="D35" i="22"/>
  <c r="F35" i="22" l="1"/>
  <c r="F35" i="20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11" i="17"/>
  <c r="D12" i="17"/>
  <c r="D13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11" i="16"/>
  <c r="D13" i="16"/>
  <c r="D19" i="16"/>
  <c r="D23" i="16"/>
  <c r="D26" i="16"/>
  <c r="D27" i="16"/>
  <c r="D28" i="16"/>
  <c r="D30" i="16"/>
  <c r="D31" i="16"/>
  <c r="D32" i="16"/>
  <c r="D33" i="16"/>
  <c r="D34" i="16"/>
  <c r="D11" i="15"/>
  <c r="D13" i="15"/>
  <c r="D26" i="15"/>
  <c r="D27" i="15"/>
  <c r="D28" i="15"/>
  <c r="D30" i="15"/>
  <c r="D31" i="15"/>
  <c r="D32" i="15"/>
  <c r="D33" i="15"/>
  <c r="D34" i="15"/>
  <c r="D14" i="14"/>
  <c r="D20" i="14"/>
  <c r="D21" i="14"/>
  <c r="D24" i="14"/>
  <c r="D25" i="14"/>
  <c r="D26" i="14"/>
  <c r="D27" i="14"/>
  <c r="D28" i="14"/>
  <c r="D30" i="14"/>
  <c r="D31" i="14"/>
  <c r="D32" i="14"/>
  <c r="D33" i="14"/>
  <c r="D34" i="14"/>
  <c r="D19" i="13"/>
  <c r="D20" i="13"/>
  <c r="D23" i="13"/>
  <c r="D26" i="13"/>
  <c r="D27" i="13"/>
  <c r="D28" i="13"/>
  <c r="D30" i="13"/>
  <c r="D31" i="13"/>
  <c r="D32" i="13"/>
  <c r="D33" i="13"/>
  <c r="D34" i="13"/>
  <c r="D13" i="12"/>
  <c r="D19" i="12"/>
  <c r="D20" i="12"/>
  <c r="D24" i="12"/>
  <c r="D25" i="12"/>
  <c r="D26" i="12"/>
  <c r="D27" i="12"/>
  <c r="D28" i="12"/>
  <c r="D30" i="12"/>
  <c r="D31" i="12"/>
  <c r="D33" i="12"/>
  <c r="D34" i="12"/>
  <c r="D11" i="11"/>
  <c r="D13" i="11"/>
  <c r="D20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11" i="10"/>
  <c r="D13" i="10"/>
  <c r="D19" i="10"/>
  <c r="D20" i="10"/>
  <c r="D23" i="10"/>
  <c r="D26" i="10"/>
  <c r="D27" i="10"/>
  <c r="D28" i="10"/>
  <c r="D31" i="10"/>
  <c r="D33" i="10"/>
  <c r="D34" i="10"/>
  <c r="D11" i="9"/>
  <c r="D12" i="9"/>
  <c r="D13" i="9"/>
  <c r="D19" i="9"/>
  <c r="D23" i="9"/>
  <c r="D24" i="9"/>
  <c r="D25" i="9"/>
  <c r="D26" i="9"/>
  <c r="D27" i="9"/>
  <c r="D28" i="9"/>
  <c r="D29" i="9"/>
  <c r="D30" i="9"/>
  <c r="D31" i="9"/>
  <c r="D32" i="9"/>
  <c r="D33" i="9"/>
  <c r="D34" i="9"/>
  <c r="D13" i="8"/>
  <c r="D23" i="8"/>
  <c r="D26" i="8"/>
  <c r="D27" i="8"/>
  <c r="D28" i="8"/>
  <c r="D30" i="8"/>
  <c r="D31" i="8"/>
  <c r="D32" i="8"/>
  <c r="D33" i="8"/>
  <c r="D34" i="8"/>
  <c r="D10" i="7"/>
  <c r="D11" i="7"/>
  <c r="D12" i="7"/>
  <c r="D13" i="7"/>
  <c r="D18" i="7"/>
  <c r="D19" i="7"/>
  <c r="D20" i="7"/>
  <c r="D21" i="7"/>
  <c r="D23" i="7"/>
  <c r="D26" i="7"/>
  <c r="D27" i="7"/>
  <c r="D28" i="7"/>
  <c r="D30" i="7"/>
  <c r="D31" i="7"/>
  <c r="D33" i="7"/>
  <c r="D34" i="7"/>
  <c r="D23" i="6"/>
  <c r="D27" i="6"/>
  <c r="D28" i="6"/>
  <c r="D30" i="6"/>
  <c r="D31" i="6"/>
  <c r="D32" i="6"/>
  <c r="D33" i="6"/>
  <c r="D34" i="6"/>
  <c r="D24" i="5"/>
  <c r="D25" i="5"/>
  <c r="D26" i="5"/>
  <c r="D27" i="5"/>
  <c r="D28" i="5"/>
  <c r="D30" i="5"/>
  <c r="D31" i="5"/>
  <c r="D32" i="5"/>
  <c r="D33" i="5"/>
  <c r="D34" i="5"/>
  <c r="D19" i="3"/>
  <c r="D20" i="3"/>
  <c r="D26" i="3"/>
  <c r="D27" i="3"/>
  <c r="D28" i="3"/>
  <c r="D30" i="3"/>
  <c r="D31" i="3"/>
  <c r="D32" i="3"/>
  <c r="D33" i="3"/>
  <c r="D34" i="3"/>
  <c r="D13" i="18"/>
  <c r="D19" i="18"/>
  <c r="D20" i="18"/>
  <c r="D21" i="18"/>
  <c r="D24" i="18"/>
  <c r="D25" i="18"/>
  <c r="D26" i="18"/>
  <c r="D27" i="18"/>
  <c r="D28" i="18"/>
  <c r="D30" i="18"/>
  <c r="D31" i="18"/>
  <c r="D33" i="18"/>
  <c r="D34" i="18"/>
  <c r="D11" i="19"/>
  <c r="D12" i="19"/>
  <c r="D13" i="19"/>
  <c r="D19" i="19"/>
  <c r="D20" i="19"/>
  <c r="D24" i="19"/>
  <c r="D25" i="19"/>
  <c r="D26" i="19"/>
  <c r="D27" i="19"/>
  <c r="D28" i="19"/>
  <c r="D29" i="19"/>
  <c r="D30" i="19"/>
  <c r="D31" i="19"/>
  <c r="D32" i="19"/>
  <c r="D33" i="19"/>
  <c r="D34" i="19"/>
  <c r="D40" i="10" l="1"/>
  <c r="D40" i="13"/>
  <c r="D6" i="15"/>
  <c r="D6" i="19"/>
  <c r="D23" i="23"/>
  <c r="D6" i="10" l="1"/>
  <c r="D6" i="7"/>
  <c r="D6" i="11"/>
  <c r="D6" i="6"/>
  <c r="D6" i="18"/>
  <c r="D6" i="8"/>
  <c r="D6" i="12"/>
  <c r="D6" i="16"/>
  <c r="D6" i="14"/>
  <c r="D6" i="3"/>
  <c r="D6" i="5"/>
  <c r="D6" i="9"/>
  <c r="D6" i="13"/>
  <c r="D6" i="17"/>
  <c r="D37" i="8"/>
  <c r="D37" i="13"/>
  <c r="D37" i="15"/>
  <c r="D37" i="18"/>
  <c r="D23" i="22"/>
  <c r="D23" i="20" l="1"/>
  <c r="D83" i="23"/>
  <c r="D22" i="23"/>
  <c r="D57" i="3"/>
  <c r="D53" i="3"/>
  <c r="D49" i="3"/>
  <c r="D45" i="3"/>
  <c r="D37" i="3"/>
  <c r="D36" i="3"/>
  <c r="D67" i="5"/>
  <c r="D65" i="5"/>
  <c r="D64" i="5"/>
  <c r="D63" i="5"/>
  <c r="D59" i="5"/>
  <c r="D53" i="5"/>
  <c r="D51" i="5"/>
  <c r="D49" i="5"/>
  <c r="D45" i="5"/>
  <c r="D37" i="5"/>
  <c r="D66" i="6"/>
  <c r="D57" i="6"/>
  <c r="D53" i="6"/>
  <c r="D49" i="6"/>
  <c r="D48" i="6"/>
  <c r="D45" i="6"/>
  <c r="D37" i="6"/>
  <c r="C40" i="6"/>
  <c r="D67" i="7"/>
  <c r="D64" i="7"/>
  <c r="D63" i="7"/>
  <c r="D60" i="7"/>
  <c r="D53" i="7"/>
  <c r="D49" i="7"/>
  <c r="D46" i="7"/>
  <c r="D45" i="7"/>
  <c r="D37" i="7"/>
  <c r="D67" i="8"/>
  <c r="D66" i="8"/>
  <c r="D63" i="8"/>
  <c r="D53" i="8"/>
  <c r="D49" i="8"/>
  <c r="D48" i="8"/>
  <c r="D45" i="8"/>
  <c r="D36" i="8"/>
  <c r="D65" i="9"/>
  <c r="D64" i="9"/>
  <c r="D60" i="9"/>
  <c r="D51" i="9"/>
  <c r="D46" i="9"/>
  <c r="D38" i="9"/>
  <c r="D67" i="10"/>
  <c r="D66" i="10"/>
  <c r="D64" i="10"/>
  <c r="D59" i="10"/>
  <c r="D57" i="10"/>
  <c r="D46" i="10"/>
  <c r="D45" i="10"/>
  <c r="D38" i="10"/>
  <c r="D36" i="10"/>
  <c r="D67" i="11"/>
  <c r="D65" i="11"/>
  <c r="D64" i="11"/>
  <c r="D63" i="11"/>
  <c r="D60" i="11"/>
  <c r="D59" i="11"/>
  <c r="D53" i="11"/>
  <c r="D51" i="11"/>
  <c r="D49" i="11"/>
  <c r="D46" i="11"/>
  <c r="D45" i="11"/>
  <c r="D38" i="11"/>
  <c r="D67" i="12"/>
  <c r="D66" i="12"/>
  <c r="D63" i="12"/>
  <c r="D57" i="12"/>
  <c r="D53" i="12"/>
  <c r="D49" i="12"/>
  <c r="D48" i="12"/>
  <c r="D45" i="12"/>
  <c r="D37" i="12"/>
  <c r="D36" i="12"/>
  <c r="D67" i="13"/>
  <c r="D64" i="13"/>
  <c r="D59" i="13"/>
  <c r="D51" i="13"/>
  <c r="D47" i="13"/>
  <c r="D46" i="13"/>
  <c r="D38" i="13"/>
  <c r="D67" i="14"/>
  <c r="D66" i="14"/>
  <c r="D57" i="14"/>
  <c r="D53" i="14"/>
  <c r="D49" i="14"/>
  <c r="D48" i="14"/>
  <c r="D64" i="15"/>
  <c r="D63" i="15"/>
  <c r="D60" i="15"/>
  <c r="D59" i="15"/>
  <c r="D46" i="15"/>
  <c r="D38" i="15"/>
  <c r="D67" i="16"/>
  <c r="D66" i="16"/>
  <c r="D65" i="16"/>
  <c r="D63" i="16"/>
  <c r="D60" i="16"/>
  <c r="D57" i="16"/>
  <c r="D36" i="16"/>
  <c r="D65" i="17"/>
  <c r="D64" i="17"/>
  <c r="D60" i="17"/>
  <c r="D59" i="17"/>
  <c r="D53" i="17"/>
  <c r="D51" i="17"/>
  <c r="D49" i="17"/>
  <c r="D46" i="17"/>
  <c r="D45" i="17"/>
  <c r="D38" i="17"/>
  <c r="D37" i="17"/>
  <c r="D36" i="17"/>
  <c r="D66" i="18"/>
  <c r="D60" i="18"/>
  <c r="D51" i="18"/>
  <c r="D49" i="18"/>
  <c r="D48" i="18"/>
  <c r="D47" i="18"/>
  <c r="C40" i="18"/>
  <c r="D65" i="22"/>
  <c r="D60" i="22"/>
  <c r="D38" i="22"/>
  <c r="D34" i="22"/>
  <c r="D33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7" i="22"/>
  <c r="D66" i="22"/>
  <c r="D63" i="22"/>
  <c r="D59" i="22"/>
  <c r="D57" i="22"/>
  <c r="C54" i="22"/>
  <c r="D53" i="22"/>
  <c r="D51" i="22"/>
  <c r="D49" i="22"/>
  <c r="D48" i="22"/>
  <c r="D47" i="22"/>
  <c r="D46" i="22"/>
  <c r="D37" i="22"/>
  <c r="D36" i="22"/>
  <c r="D32" i="22"/>
  <c r="D31" i="22"/>
  <c r="D28" i="22"/>
  <c r="D27" i="22"/>
  <c r="D18" i="22"/>
  <c r="D16" i="22"/>
  <c r="D8" i="22"/>
  <c r="D67" i="17"/>
  <c r="D66" i="17"/>
  <c r="D63" i="17"/>
  <c r="D57" i="17"/>
  <c r="D48" i="17"/>
  <c r="D47" i="17"/>
  <c r="D64" i="16"/>
  <c r="D59" i="16"/>
  <c r="D53" i="16"/>
  <c r="D51" i="16"/>
  <c r="D49" i="16"/>
  <c r="D48" i="16"/>
  <c r="D47" i="16"/>
  <c r="D46" i="16"/>
  <c r="D38" i="16"/>
  <c r="D37" i="16"/>
  <c r="D67" i="15"/>
  <c r="D66" i="15"/>
  <c r="D57" i="15"/>
  <c r="D53" i="15"/>
  <c r="D51" i="15"/>
  <c r="D49" i="15"/>
  <c r="D48" i="15"/>
  <c r="D47" i="15"/>
  <c r="D45" i="15"/>
  <c r="D36" i="15"/>
  <c r="D65" i="14"/>
  <c r="D64" i="14"/>
  <c r="D60" i="14"/>
  <c r="D59" i="14"/>
  <c r="D51" i="14"/>
  <c r="D47" i="14"/>
  <c r="D46" i="14"/>
  <c r="D38" i="14"/>
  <c r="D37" i="14"/>
  <c r="D36" i="14"/>
  <c r="D66" i="13"/>
  <c r="D65" i="13"/>
  <c r="D60" i="13"/>
  <c r="D57" i="13"/>
  <c r="D53" i="13"/>
  <c r="D49" i="13"/>
  <c r="D48" i="13"/>
  <c r="D36" i="13"/>
  <c r="D65" i="12"/>
  <c r="D64" i="12"/>
  <c r="D60" i="12"/>
  <c r="D59" i="12"/>
  <c r="D51" i="12"/>
  <c r="D47" i="12"/>
  <c r="D46" i="12"/>
  <c r="D38" i="12"/>
  <c r="D66" i="11"/>
  <c r="C62" i="11"/>
  <c r="D57" i="11"/>
  <c r="C54" i="11"/>
  <c r="D48" i="11"/>
  <c r="D47" i="11"/>
  <c r="D37" i="11"/>
  <c r="D36" i="11"/>
  <c r="D65" i="10"/>
  <c r="D63" i="10"/>
  <c r="D60" i="10"/>
  <c r="C54" i="10"/>
  <c r="D53" i="10"/>
  <c r="D51" i="10"/>
  <c r="D49" i="10"/>
  <c r="D48" i="10"/>
  <c r="D47" i="10"/>
  <c r="D37" i="10"/>
  <c r="D67" i="9"/>
  <c r="D66" i="9"/>
  <c r="D59" i="9"/>
  <c r="D57" i="9"/>
  <c r="D53" i="9"/>
  <c r="D49" i="9"/>
  <c r="D48" i="9"/>
  <c r="D47" i="9"/>
  <c r="D37" i="9"/>
  <c r="D36" i="9"/>
  <c r="D65" i="8"/>
  <c r="D64" i="8"/>
  <c r="D60" i="8"/>
  <c r="D59" i="8"/>
  <c r="D51" i="8"/>
  <c r="D47" i="8"/>
  <c r="D46" i="8"/>
  <c r="D38" i="8"/>
  <c r="D66" i="7"/>
  <c r="D65" i="7"/>
  <c r="D59" i="7"/>
  <c r="D57" i="7"/>
  <c r="D51" i="7"/>
  <c r="D48" i="7"/>
  <c r="D47" i="7"/>
  <c r="D38" i="7"/>
  <c r="D36" i="7"/>
  <c r="D67" i="6"/>
  <c r="D65" i="6"/>
  <c r="D64" i="6"/>
  <c r="C62" i="6"/>
  <c r="D60" i="6"/>
  <c r="D59" i="6"/>
  <c r="D51" i="6"/>
  <c r="D47" i="6"/>
  <c r="D46" i="6"/>
  <c r="D38" i="6"/>
  <c r="D36" i="6"/>
  <c r="D66" i="5"/>
  <c r="D60" i="5"/>
  <c r="D57" i="5"/>
  <c r="D48" i="5"/>
  <c r="D47" i="5"/>
  <c r="D46" i="5"/>
  <c r="D38" i="5"/>
  <c r="D36" i="5"/>
  <c r="D67" i="3"/>
  <c r="D66" i="3"/>
  <c r="D65" i="3"/>
  <c r="D64" i="3"/>
  <c r="D60" i="3"/>
  <c r="D59" i="3"/>
  <c r="C54" i="3"/>
  <c r="D51" i="3"/>
  <c r="D48" i="3"/>
  <c r="D47" i="3"/>
  <c r="D46" i="3"/>
  <c r="D38" i="3"/>
  <c r="D67" i="18"/>
  <c r="D65" i="18"/>
  <c r="D64" i="18"/>
  <c r="D63" i="18"/>
  <c r="D59" i="18"/>
  <c r="D57" i="18"/>
  <c r="D53" i="18"/>
  <c r="D46" i="18"/>
  <c r="D45" i="18"/>
  <c r="D38" i="18"/>
  <c r="D36" i="18"/>
  <c r="D38" i="19"/>
  <c r="C34" i="20"/>
  <c r="E36" i="17" l="1"/>
  <c r="E36" i="16"/>
  <c r="E36" i="18"/>
  <c r="E36" i="6"/>
  <c r="E36" i="12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4" i="22"/>
  <c r="C62" i="22"/>
  <c r="C54" i="8"/>
  <c r="D57" i="8"/>
  <c r="C62" i="10"/>
  <c r="C40" i="8"/>
  <c r="D44" i="8"/>
  <c r="D44" i="6"/>
  <c r="C44" i="22"/>
  <c r="C41" i="22" s="1"/>
  <c r="C54" i="6"/>
  <c r="C40" i="3"/>
  <c r="C62" i="3"/>
  <c r="C54" i="18"/>
  <c r="C62" i="18"/>
  <c r="C40" i="17"/>
  <c r="C62" i="17"/>
  <c r="C44" i="5"/>
  <c r="C44" i="7"/>
  <c r="D40" i="7"/>
  <c r="C40" i="9"/>
  <c r="C54" i="15"/>
  <c r="D54" i="15"/>
  <c r="D54" i="16"/>
  <c r="C54" i="16"/>
  <c r="D62" i="16"/>
  <c r="D54" i="17"/>
  <c r="C44" i="18"/>
  <c r="D24" i="22"/>
  <c r="D54" i="22"/>
  <c r="C40" i="22"/>
  <c r="D45" i="22"/>
  <c r="D44" i="18"/>
  <c r="D44" i="3"/>
  <c r="D62" i="18"/>
  <c r="C44" i="3"/>
  <c r="D44" i="7"/>
  <c r="C44" i="8"/>
  <c r="D63" i="3"/>
  <c r="C62" i="5"/>
  <c r="C54" i="7"/>
  <c r="C62" i="7"/>
  <c r="C44" i="9"/>
  <c r="C44" i="10"/>
  <c r="C40" i="5"/>
  <c r="D44" i="5"/>
  <c r="C44" i="6"/>
  <c r="C40" i="7"/>
  <c r="C54" i="9"/>
  <c r="C54" i="5"/>
  <c r="D63" i="6"/>
  <c r="C62" i="8"/>
  <c r="D45" i="9"/>
  <c r="C62" i="9"/>
  <c r="D63" i="9"/>
  <c r="C44" i="12"/>
  <c r="C44" i="14"/>
  <c r="D45" i="14"/>
  <c r="C40" i="15"/>
  <c r="D54" i="5"/>
  <c r="D62" i="5"/>
  <c r="D54" i="7"/>
  <c r="D62" i="7"/>
  <c r="D62" i="8"/>
  <c r="C40" i="10"/>
  <c r="D40" i="11"/>
  <c r="D44" i="11"/>
  <c r="D54" i="10"/>
  <c r="D62" i="10"/>
  <c r="D54" i="11"/>
  <c r="D62" i="11"/>
  <c r="D54" i="12"/>
  <c r="D62" i="12"/>
  <c r="C62" i="13"/>
  <c r="D63" i="13"/>
  <c r="C40" i="11"/>
  <c r="C44" i="11"/>
  <c r="C40" i="12"/>
  <c r="C54" i="12"/>
  <c r="C62" i="12"/>
  <c r="D65" i="15"/>
  <c r="C62" i="15"/>
  <c r="C44" i="13"/>
  <c r="D45" i="13"/>
  <c r="C62" i="14"/>
  <c r="D63" i="14"/>
  <c r="C54" i="17"/>
  <c r="C54" i="13"/>
  <c r="C54" i="14"/>
  <c r="C40" i="16"/>
  <c r="C44" i="16"/>
  <c r="D45" i="16"/>
  <c r="C62" i="16"/>
  <c r="D62" i="17"/>
  <c r="C40" i="13"/>
  <c r="E40" i="13" s="1"/>
  <c r="C40" i="14"/>
  <c r="C44" i="15"/>
  <c r="C44" i="17"/>
  <c r="D44" i="15"/>
  <c r="D44" i="17"/>
  <c r="D54" i="14" l="1"/>
  <c r="D44" i="13"/>
  <c r="D44" i="14"/>
  <c r="D62" i="3"/>
  <c r="D44" i="22"/>
  <c r="D44" i="16"/>
  <c r="D62" i="13"/>
  <c r="D62" i="9"/>
  <c r="D62" i="6"/>
  <c r="D54" i="3"/>
  <c r="D54" i="18"/>
  <c r="D62" i="22"/>
  <c r="D54" i="13"/>
  <c r="D62" i="14"/>
  <c r="D54" i="6"/>
  <c r="D54" i="8"/>
  <c r="D54" i="9"/>
  <c r="D40" i="22"/>
  <c r="D62" i="15"/>
  <c r="D44" i="12"/>
  <c r="D44" i="9"/>
  <c r="D44" i="10"/>
  <c r="D6" i="22"/>
  <c r="C41" i="11"/>
  <c r="C41" i="10"/>
  <c r="C41" i="3"/>
  <c r="C41" i="13"/>
  <c r="D41" i="17"/>
  <c r="D40" i="5"/>
  <c r="C41" i="17"/>
  <c r="D40" i="12"/>
  <c r="C41" i="6"/>
  <c r="D40" i="9"/>
  <c r="D40" i="15"/>
  <c r="D41" i="15"/>
  <c r="D40" i="16"/>
  <c r="D41" i="7"/>
  <c r="D40" i="14"/>
  <c r="C41" i="16"/>
  <c r="C41" i="12"/>
  <c r="C41" i="8"/>
  <c r="C41" i="18"/>
  <c r="C41" i="7"/>
  <c r="D40" i="17"/>
  <c r="D40" i="6"/>
  <c r="C41" i="5"/>
  <c r="D40" i="3"/>
  <c r="D41" i="5"/>
  <c r="C41" i="9"/>
  <c r="C41" i="15"/>
  <c r="D40" i="18"/>
  <c r="D41" i="11"/>
  <c r="C41" i="14"/>
  <c r="D40" i="8"/>
  <c r="D41" i="22" l="1"/>
  <c r="D41" i="10"/>
  <c r="D41" i="14"/>
  <c r="D41" i="18"/>
  <c r="D41" i="6"/>
  <c r="D41" i="12"/>
  <c r="D41" i="16"/>
  <c r="D41" i="13"/>
  <c r="D41" i="3"/>
  <c r="D41" i="9"/>
  <c r="D41" i="8"/>
  <c r="C38" i="20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58" i="23" l="1"/>
  <c r="E58" i="23" s="1"/>
  <c r="F38" i="20"/>
  <c r="E38" i="20"/>
  <c r="D34" i="20"/>
  <c r="F25" i="13"/>
  <c r="F14" i="12"/>
  <c r="E10" i="17"/>
  <c r="E10" i="13"/>
  <c r="E14" i="9"/>
  <c r="E12" i="19"/>
  <c r="E60" i="8"/>
  <c r="F23" i="23"/>
  <c r="F37" i="10"/>
  <c r="F83" i="23"/>
  <c r="E55" i="22"/>
  <c r="E43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7" i="19"/>
  <c r="E60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4" i="19"/>
  <c r="C44" i="19"/>
  <c r="F43" i="18"/>
  <c r="E46" i="18"/>
  <c r="F51" i="18"/>
  <c r="E53" i="18"/>
  <c r="F56" i="18"/>
  <c r="E61" i="18"/>
  <c r="F43" i="17"/>
  <c r="E45" i="17"/>
  <c r="E46" i="17"/>
  <c r="E50" i="17"/>
  <c r="F55" i="17"/>
  <c r="E59" i="17"/>
  <c r="F60" i="17"/>
  <c r="F61" i="17"/>
  <c r="E43" i="16"/>
  <c r="E46" i="16"/>
  <c r="E48" i="16"/>
  <c r="E51" i="16"/>
  <c r="F53" i="16"/>
  <c r="E55" i="16"/>
  <c r="E58" i="16"/>
  <c r="F43" i="15"/>
  <c r="E47" i="15"/>
  <c r="E49" i="15"/>
  <c r="F51" i="15"/>
  <c r="E53" i="15"/>
  <c r="E55" i="15"/>
  <c r="F56" i="15"/>
  <c r="E59" i="15"/>
  <c r="E61" i="15"/>
  <c r="F45" i="14"/>
  <c r="E48" i="14"/>
  <c r="E52" i="14"/>
  <c r="E55" i="14"/>
  <c r="E56" i="14"/>
  <c r="E59" i="14"/>
  <c r="E60" i="14"/>
  <c r="E45" i="13"/>
  <c r="F46" i="13"/>
  <c r="F50" i="13"/>
  <c r="F51" i="13"/>
  <c r="E52" i="13"/>
  <c r="E53" i="13"/>
  <c r="E55" i="13"/>
  <c r="F56" i="13"/>
  <c r="E58" i="13"/>
  <c r="F61" i="13"/>
  <c r="E45" i="12"/>
  <c r="F46" i="12"/>
  <c r="E47" i="12"/>
  <c r="E48" i="12"/>
  <c r="F50" i="12"/>
  <c r="F55" i="12"/>
  <c r="F58" i="12"/>
  <c r="E59" i="12"/>
  <c r="E60" i="12"/>
  <c r="F45" i="11"/>
  <c r="E47" i="11"/>
  <c r="E49" i="11"/>
  <c r="F50" i="11"/>
  <c r="E53" i="11"/>
  <c r="E55" i="11"/>
  <c r="E57" i="11"/>
  <c r="F60" i="11"/>
  <c r="F43" i="10"/>
  <c r="F46" i="10"/>
  <c r="F47" i="10"/>
  <c r="F48" i="10"/>
  <c r="E50" i="10"/>
  <c r="E53" i="10"/>
  <c r="E55" i="10"/>
  <c r="F56" i="10"/>
  <c r="F58" i="10"/>
  <c r="E61" i="10"/>
  <c r="E43" i="9"/>
  <c r="E45" i="9"/>
  <c r="E49" i="9"/>
  <c r="F50" i="9"/>
  <c r="E56" i="9"/>
  <c r="E57" i="9"/>
  <c r="F58" i="9"/>
  <c r="E60" i="9"/>
  <c r="F45" i="8"/>
  <c r="E46" i="8"/>
  <c r="E48" i="8"/>
  <c r="E50" i="8"/>
  <c r="F51" i="8"/>
  <c r="E52" i="8"/>
  <c r="F53" i="8"/>
  <c r="E55" i="8"/>
  <c r="E56" i="8"/>
  <c r="E61" i="8"/>
  <c r="F43" i="7"/>
  <c r="E47" i="7"/>
  <c r="F50" i="7"/>
  <c r="E55" i="7"/>
  <c r="E56" i="7"/>
  <c r="E58" i="7"/>
  <c r="F60" i="7"/>
  <c r="F61" i="7"/>
  <c r="F43" i="6"/>
  <c r="E45" i="6"/>
  <c r="F46" i="6"/>
  <c r="F47" i="6"/>
  <c r="F52" i="6"/>
  <c r="E56" i="6"/>
  <c r="E58" i="6"/>
  <c r="F60" i="6"/>
  <c r="E43" i="5"/>
  <c r="E45" i="5"/>
  <c r="E46" i="5"/>
  <c r="F47" i="5"/>
  <c r="F50" i="5"/>
  <c r="E51" i="5"/>
  <c r="E53" i="5"/>
  <c r="E57" i="5"/>
  <c r="F58" i="5"/>
  <c r="F60" i="5"/>
  <c r="F61" i="5"/>
  <c r="E43" i="3"/>
  <c r="E46" i="3"/>
  <c r="E48" i="3"/>
  <c r="F50" i="3"/>
  <c r="E51" i="3"/>
  <c r="E57" i="3"/>
  <c r="E59" i="3"/>
  <c r="D45" i="19"/>
  <c r="D46" i="19"/>
  <c r="D47" i="19"/>
  <c r="D48" i="19"/>
  <c r="D49" i="19"/>
  <c r="D51" i="19"/>
  <c r="D53" i="19"/>
  <c r="D57" i="19"/>
  <c r="D59" i="19"/>
  <c r="D60" i="19"/>
  <c r="F42" i="17"/>
  <c r="E42" i="16"/>
  <c r="E42" i="15"/>
  <c r="F42" i="13"/>
  <c r="E42" i="12"/>
  <c r="E42" i="9"/>
  <c r="E42" i="8"/>
  <c r="E42" i="7"/>
  <c r="F42" i="3"/>
  <c r="F43" i="22"/>
  <c r="E32" i="19"/>
  <c r="D36" i="19"/>
  <c r="D63" i="19"/>
  <c r="D64" i="19"/>
  <c r="D65" i="19"/>
  <c r="D66" i="19"/>
  <c r="D67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60" i="22"/>
  <c r="F49" i="9"/>
  <c r="F18" i="3"/>
  <c r="F28" i="3"/>
  <c r="F31" i="3"/>
  <c r="F33" i="3"/>
  <c r="F48" i="3"/>
  <c r="F49" i="3"/>
  <c r="F57" i="3"/>
  <c r="F59" i="3"/>
  <c r="E63" i="3"/>
  <c r="F63" i="3"/>
  <c r="F65" i="3"/>
  <c r="F66" i="3"/>
  <c r="F28" i="5"/>
  <c r="F33" i="5"/>
  <c r="F48" i="5"/>
  <c r="F49" i="5"/>
  <c r="F52" i="5"/>
  <c r="F57" i="5"/>
  <c r="F59" i="5"/>
  <c r="F64" i="5"/>
  <c r="E65" i="5"/>
  <c r="F65" i="5"/>
  <c r="F67" i="5"/>
  <c r="F28" i="6"/>
  <c r="F33" i="6"/>
  <c r="F48" i="6"/>
  <c r="F49" i="6"/>
  <c r="F57" i="6"/>
  <c r="F59" i="6"/>
  <c r="F63" i="6"/>
  <c r="F65" i="6"/>
  <c r="F28" i="7"/>
  <c r="F31" i="7"/>
  <c r="F33" i="7"/>
  <c r="F48" i="7"/>
  <c r="F49" i="7"/>
  <c r="F57" i="7"/>
  <c r="F59" i="7"/>
  <c r="F63" i="7"/>
  <c r="F65" i="7"/>
  <c r="F28" i="8"/>
  <c r="F33" i="8"/>
  <c r="F46" i="8"/>
  <c r="F49" i="8"/>
  <c r="F57" i="8"/>
  <c r="F59" i="8"/>
  <c r="F64" i="8"/>
  <c r="F65" i="8"/>
  <c r="E67" i="8"/>
  <c r="F28" i="9"/>
  <c r="F33" i="9"/>
  <c r="F57" i="9"/>
  <c r="F59" i="9"/>
  <c r="E65" i="9"/>
  <c r="F65" i="9"/>
  <c r="F28" i="10"/>
  <c r="F30" i="10"/>
  <c r="F33" i="10"/>
  <c r="F49" i="10"/>
  <c r="F53" i="10"/>
  <c r="F57" i="10"/>
  <c r="F59" i="10"/>
  <c r="F63" i="10"/>
  <c r="E64" i="10"/>
  <c r="F65" i="10"/>
  <c r="F28" i="11"/>
  <c r="F33" i="11"/>
  <c r="F48" i="11"/>
  <c r="F49" i="11"/>
  <c r="F57" i="11"/>
  <c r="F59" i="11"/>
  <c r="F63" i="11"/>
  <c r="F65" i="11"/>
  <c r="F67" i="11"/>
  <c r="F28" i="12"/>
  <c r="F33" i="12"/>
  <c r="F45" i="12"/>
  <c r="F48" i="12"/>
  <c r="F49" i="12"/>
  <c r="F57" i="12"/>
  <c r="F59" i="12"/>
  <c r="E61" i="12"/>
  <c r="F63" i="12"/>
  <c r="F64" i="12"/>
  <c r="F65" i="12"/>
  <c r="E16" i="13"/>
  <c r="F16" i="13"/>
  <c r="F28" i="13"/>
  <c r="F30" i="13"/>
  <c r="F33" i="13"/>
  <c r="F49" i="13"/>
  <c r="F57" i="13"/>
  <c r="F59" i="13"/>
  <c r="F63" i="13"/>
  <c r="E64" i="13"/>
  <c r="F65" i="13"/>
  <c r="F28" i="14"/>
  <c r="F33" i="14"/>
  <c r="F48" i="14"/>
  <c r="F49" i="14"/>
  <c r="E51" i="14"/>
  <c r="F57" i="14"/>
  <c r="F59" i="14"/>
  <c r="F63" i="14"/>
  <c r="E64" i="14"/>
  <c r="F65" i="14"/>
  <c r="F28" i="15"/>
  <c r="F30" i="15"/>
  <c r="F31" i="15"/>
  <c r="F33" i="15"/>
  <c r="F48" i="15"/>
  <c r="F49" i="15"/>
  <c r="F57" i="15"/>
  <c r="F59" i="15"/>
  <c r="F63" i="15"/>
  <c r="F65" i="15"/>
  <c r="F66" i="15"/>
  <c r="F28" i="16"/>
  <c r="F33" i="16"/>
  <c r="F47" i="16"/>
  <c r="F49" i="16"/>
  <c r="F57" i="16"/>
  <c r="F59" i="16"/>
  <c r="F63" i="16"/>
  <c r="F65" i="16"/>
  <c r="F28" i="17"/>
  <c r="F33" i="17"/>
  <c r="F48" i="17"/>
  <c r="F49" i="17"/>
  <c r="F57" i="17"/>
  <c r="F59" i="17"/>
  <c r="F63" i="17"/>
  <c r="E64" i="17"/>
  <c r="E65" i="17"/>
  <c r="F65" i="17"/>
  <c r="F28" i="18"/>
  <c r="E32" i="18"/>
  <c r="F33" i="18"/>
  <c r="F49" i="18"/>
  <c r="F53" i="18"/>
  <c r="F57" i="18"/>
  <c r="F59" i="18"/>
  <c r="F63" i="18"/>
  <c r="F65" i="18"/>
  <c r="F66" i="18"/>
  <c r="F28" i="19"/>
  <c r="F31" i="19"/>
  <c r="F33" i="19"/>
  <c r="F49" i="19"/>
  <c r="F57" i="19"/>
  <c r="F59" i="19"/>
  <c r="C62" i="19"/>
  <c r="F63" i="19"/>
  <c r="F65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2" i="20"/>
  <c r="C43" i="20"/>
  <c r="C45" i="20"/>
  <c r="C46" i="20"/>
  <c r="C47" i="20"/>
  <c r="C48" i="20"/>
  <c r="C49" i="20"/>
  <c r="C50" i="20"/>
  <c r="C51" i="20"/>
  <c r="C52" i="20"/>
  <c r="C53" i="20"/>
  <c r="C55" i="20"/>
  <c r="C56" i="20"/>
  <c r="C57" i="20"/>
  <c r="C58" i="20"/>
  <c r="C59" i="20"/>
  <c r="C60" i="20"/>
  <c r="C61" i="20"/>
  <c r="C63" i="20"/>
  <c r="C64" i="20"/>
  <c r="C65" i="20"/>
  <c r="C66" i="20"/>
  <c r="C67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7" i="22"/>
  <c r="F47" i="22"/>
  <c r="F49" i="22"/>
  <c r="E50" i="22"/>
  <c r="E57" i="22"/>
  <c r="F57" i="22"/>
  <c r="F59" i="22"/>
  <c r="E61" i="22"/>
  <c r="F63" i="22"/>
  <c r="E64" i="22"/>
  <c r="F65" i="22"/>
  <c r="F66" i="22"/>
  <c r="E67" i="22"/>
  <c r="F67" i="22"/>
  <c r="C6" i="23"/>
  <c r="E7" i="23"/>
  <c r="E8" i="23"/>
  <c r="C9" i="23"/>
  <c r="F10" i="23"/>
  <c r="F11" i="23"/>
  <c r="C12" i="23"/>
  <c r="D13" i="23"/>
  <c r="D14" i="23"/>
  <c r="E14" i="23" s="1"/>
  <c r="C15" i="23"/>
  <c r="E16" i="23"/>
  <c r="F17" i="23"/>
  <c r="D18" i="23"/>
  <c r="E18" i="23" s="1"/>
  <c r="D20" i="23"/>
  <c r="E20" i="23" s="1"/>
  <c r="D21" i="23"/>
  <c r="E21" i="23" s="1"/>
  <c r="D25" i="23"/>
  <c r="C89" i="23"/>
  <c r="D90" i="23"/>
  <c r="E90" i="23" s="1"/>
  <c r="D91" i="23"/>
  <c r="E91" i="23" s="1"/>
  <c r="C25" i="20"/>
  <c r="F51" i="9"/>
  <c r="F48" i="9"/>
  <c r="F16" i="15"/>
  <c r="F18" i="12"/>
  <c r="F55" i="22"/>
  <c r="F12" i="18"/>
  <c r="E26" i="9"/>
  <c r="F14" i="15"/>
  <c r="E14" i="15"/>
  <c r="F15" i="15"/>
  <c r="E18" i="15"/>
  <c r="F64" i="22"/>
  <c r="F42" i="22"/>
  <c r="F48" i="22"/>
  <c r="E42" i="22"/>
  <c r="E65" i="22"/>
  <c r="E63" i="22"/>
  <c r="E51" i="22"/>
  <c r="E46" i="22"/>
  <c r="E31" i="22"/>
  <c r="E30" i="22"/>
  <c r="E29" i="22"/>
  <c r="E49" i="12"/>
  <c r="E48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50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6" i="22"/>
  <c r="F50" i="22"/>
  <c r="E59" i="22"/>
  <c r="F51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6" i="10"/>
  <c r="F60" i="14"/>
  <c r="F45" i="16"/>
  <c r="F43" i="11"/>
  <c r="E51" i="10"/>
  <c r="F51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3" i="22"/>
  <c r="F12" i="19"/>
  <c r="F58" i="23" l="1"/>
  <c r="F13" i="23"/>
  <c r="C19" i="23"/>
  <c r="E42" i="19"/>
  <c r="E59" i="19"/>
  <c r="F50" i="19"/>
  <c r="F46" i="19"/>
  <c r="F66" i="19"/>
  <c r="F36" i="19"/>
  <c r="F58" i="19"/>
  <c r="E65" i="19"/>
  <c r="E61" i="19"/>
  <c r="E37" i="19"/>
  <c r="E63" i="19"/>
  <c r="F64" i="19"/>
  <c r="E47" i="19"/>
  <c r="F21" i="23"/>
  <c r="E36" i="19"/>
  <c r="C92" i="23"/>
  <c r="C85" i="23"/>
  <c r="C79" i="23"/>
  <c r="C74" i="23"/>
  <c r="C66" i="23"/>
  <c r="C50" i="23"/>
  <c r="C46" i="23"/>
  <c r="C39" i="23"/>
  <c r="C45" i="23"/>
  <c r="C88" i="23"/>
  <c r="C82" i="23"/>
  <c r="C78" i="23"/>
  <c r="C73" i="23"/>
  <c r="C69" i="23"/>
  <c r="C64" i="23"/>
  <c r="C49" i="23"/>
  <c r="C43" i="23"/>
  <c r="C38" i="23"/>
  <c r="C87" i="23"/>
  <c r="C81" i="23"/>
  <c r="C77" i="23"/>
  <c r="C72" i="23"/>
  <c r="C68" i="23"/>
  <c r="C63" i="23"/>
  <c r="C52" i="23"/>
  <c r="C41" i="23"/>
  <c r="C37" i="23"/>
  <c r="C42" i="23"/>
  <c r="C86" i="23"/>
  <c r="C80" i="23"/>
  <c r="C67" i="23"/>
  <c r="C57" i="23"/>
  <c r="C51" i="23"/>
  <c r="C47" i="23"/>
  <c r="C40" i="23"/>
  <c r="D54" i="23"/>
  <c r="F34" i="20"/>
  <c r="F25" i="19"/>
  <c r="E24" i="19"/>
  <c r="F61" i="10"/>
  <c r="E47" i="3"/>
  <c r="E59" i="8"/>
  <c r="E19" i="14"/>
  <c r="F12" i="8"/>
  <c r="E51" i="18"/>
  <c r="F9" i="23"/>
  <c r="E7" i="14"/>
  <c r="F27" i="7"/>
  <c r="E7" i="17"/>
  <c r="E45" i="7"/>
  <c r="E7" i="15"/>
  <c r="E7" i="10"/>
  <c r="E7" i="16"/>
  <c r="E7" i="6"/>
  <c r="E7" i="19"/>
  <c r="F60" i="18"/>
  <c r="F51" i="19"/>
  <c r="F25" i="8"/>
  <c r="F29" i="18"/>
  <c r="E26" i="18"/>
  <c r="E55" i="17"/>
  <c r="C41" i="19"/>
  <c r="E34" i="20"/>
  <c r="E11" i="11"/>
  <c r="E58" i="12"/>
  <c r="F42" i="8"/>
  <c r="E56" i="18"/>
  <c r="E43" i="15"/>
  <c r="F45" i="6"/>
  <c r="F8" i="14"/>
  <c r="E8" i="14"/>
  <c r="E15" i="17"/>
  <c r="E21" i="16"/>
  <c r="E49" i="8"/>
  <c r="E49" i="16"/>
  <c r="F13" i="8"/>
  <c r="F91" i="23"/>
  <c r="F37" i="15"/>
  <c r="F29" i="11"/>
  <c r="F17" i="16"/>
  <c r="F29" i="7"/>
  <c r="F25" i="11"/>
  <c r="F26" i="14"/>
  <c r="E67" i="11"/>
  <c r="E29" i="14"/>
  <c r="F56" i="7"/>
  <c r="F60" i="8"/>
  <c r="F11" i="8"/>
  <c r="E60" i="16"/>
  <c r="D6" i="23"/>
  <c r="E19" i="11"/>
  <c r="F29" i="14"/>
  <c r="E11" i="12"/>
  <c r="F13" i="16"/>
  <c r="E50" i="11"/>
  <c r="E14" i="14"/>
  <c r="E37" i="11"/>
  <c r="F7" i="15"/>
  <c r="E59" i="9"/>
  <c r="E46" i="9"/>
  <c r="F60" i="12"/>
  <c r="F56" i="11"/>
  <c r="E33" i="5"/>
  <c r="E8" i="11"/>
  <c r="F27" i="13"/>
  <c r="E33" i="9"/>
  <c r="E43" i="17"/>
  <c r="F37" i="6"/>
  <c r="F66" i="10"/>
  <c r="F58" i="18"/>
  <c r="F22" i="3"/>
  <c r="F43" i="12"/>
  <c r="F55" i="9"/>
  <c r="F22" i="10"/>
  <c r="E63" i="17"/>
  <c r="E37" i="6"/>
  <c r="E50" i="3"/>
  <c r="F67" i="10"/>
  <c r="F25" i="23"/>
  <c r="F20" i="23"/>
  <c r="E55" i="9"/>
  <c r="E43" i="6"/>
  <c r="F45" i="7"/>
  <c r="F58" i="8"/>
  <c r="F58" i="7"/>
  <c r="E47" i="5"/>
  <c r="E23" i="6"/>
  <c r="F46" i="9"/>
  <c r="E52" i="12"/>
  <c r="E46" i="10"/>
  <c r="E56" i="11"/>
  <c r="E46" i="19"/>
  <c r="F25" i="14"/>
  <c r="E27" i="13"/>
  <c r="E15" i="11"/>
  <c r="F7" i="6"/>
  <c r="E25" i="11"/>
  <c r="E53" i="7"/>
  <c r="E53" i="8"/>
  <c r="F53" i="7"/>
  <c r="F12" i="11"/>
  <c r="F19" i="14"/>
  <c r="E45" i="8"/>
  <c r="E42" i="3"/>
  <c r="E57" i="6"/>
  <c r="E21" i="14"/>
  <c r="E29" i="16"/>
  <c r="F9" i="14"/>
  <c r="E42" i="13"/>
  <c r="E56" i="16"/>
  <c r="E52" i="16"/>
  <c r="E50" i="9"/>
  <c r="E55" i="3"/>
  <c r="F26" i="5"/>
  <c r="F29" i="16"/>
  <c r="F23" i="17"/>
  <c r="E33" i="8"/>
  <c r="E58" i="8"/>
  <c r="F52" i="13"/>
  <c r="E57" i="12"/>
  <c r="F11" i="10"/>
  <c r="E49" i="5"/>
  <c r="F66" i="8"/>
  <c r="E9" i="10"/>
  <c r="E47" i="10"/>
  <c r="E53" i="6"/>
  <c r="F42" i="7"/>
  <c r="F52" i="3"/>
  <c r="F50" i="17"/>
  <c r="E60" i="18"/>
  <c r="E50" i="13"/>
  <c r="E48" i="15"/>
  <c r="E33" i="14"/>
  <c r="E13" i="5"/>
  <c r="F20" i="8"/>
  <c r="E31" i="15"/>
  <c r="E59" i="7"/>
  <c r="F19" i="15"/>
  <c r="F51" i="14"/>
  <c r="E66" i="8"/>
  <c r="E54" i="22"/>
  <c r="E11" i="10"/>
  <c r="E45" i="15"/>
  <c r="E12" i="10"/>
  <c r="E25" i="16"/>
  <c r="E56" i="13"/>
  <c r="E67" i="5"/>
  <c r="F9" i="10"/>
  <c r="E30" i="15"/>
  <c r="E32" i="5"/>
  <c r="E43" i="11"/>
  <c r="F55" i="13"/>
  <c r="E45" i="11"/>
  <c r="E46" i="12"/>
  <c r="F61" i="9"/>
  <c r="F15" i="14"/>
  <c r="E17" i="18"/>
  <c r="E31" i="8"/>
  <c r="E57" i="15"/>
  <c r="E66" i="18"/>
  <c r="E67" i="10"/>
  <c r="F37" i="17"/>
  <c r="E65" i="7"/>
  <c r="E52" i="5"/>
  <c r="F9" i="11"/>
  <c r="F56" i="6"/>
  <c r="F7" i="13"/>
  <c r="E23" i="7"/>
  <c r="F26" i="16"/>
  <c r="E48" i="17"/>
  <c r="E13" i="3"/>
  <c r="E32" i="3"/>
  <c r="E37" i="16"/>
  <c r="E22" i="6"/>
  <c r="F30" i="14"/>
  <c r="E10" i="5"/>
  <c r="E32" i="12"/>
  <c r="F60" i="13"/>
  <c r="F53" i="14"/>
  <c r="E45" i="3"/>
  <c r="F47" i="13"/>
  <c r="F43" i="3"/>
  <c r="F45" i="5"/>
  <c r="F47" i="12"/>
  <c r="F52" i="7"/>
  <c r="E14" i="5"/>
  <c r="E27" i="5"/>
  <c r="E29" i="11"/>
  <c r="F8" i="7"/>
  <c r="F23" i="7"/>
  <c r="F12" i="10"/>
  <c r="F18" i="5"/>
  <c r="E15" i="14"/>
  <c r="F17" i="7"/>
  <c r="E18" i="7"/>
  <c r="E26" i="6"/>
  <c r="F19" i="16"/>
  <c r="E47" i="13"/>
  <c r="E57" i="19"/>
  <c r="E21" i="8"/>
  <c r="F17" i="3"/>
  <c r="F42" i="11"/>
  <c r="F50" i="15"/>
  <c r="E8" i="7"/>
  <c r="F53" i="15"/>
  <c r="E37" i="10"/>
  <c r="E49" i="14"/>
  <c r="F8" i="18"/>
  <c r="E18" i="8"/>
  <c r="E30" i="19"/>
  <c r="F10" i="14"/>
  <c r="F53" i="3"/>
  <c r="F47" i="7"/>
  <c r="E49" i="18"/>
  <c r="E55" i="12"/>
  <c r="E17" i="5"/>
  <c r="E8" i="5"/>
  <c r="F21" i="5"/>
  <c r="F17" i="11"/>
  <c r="F8" i="5"/>
  <c r="F13" i="19"/>
  <c r="E17" i="8"/>
  <c r="F23" i="18"/>
  <c r="F26" i="12"/>
  <c r="E19" i="10"/>
  <c r="E51" i="13"/>
  <c r="E63" i="10"/>
  <c r="F22" i="6"/>
  <c r="F20" i="10"/>
  <c r="F21" i="11"/>
  <c r="E42" i="11"/>
  <c r="E66" i="3"/>
  <c r="E26" i="16"/>
  <c r="E24" i="13"/>
  <c r="F32" i="12"/>
  <c r="E64" i="18"/>
  <c r="F67" i="14"/>
  <c r="E37" i="3"/>
  <c r="F37" i="9"/>
  <c r="E37" i="9"/>
  <c r="E46" i="14"/>
  <c r="E57" i="16"/>
  <c r="F43" i="16"/>
  <c r="E55" i="18"/>
  <c r="F55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7" i="15"/>
  <c r="F45" i="17"/>
  <c r="F46" i="18"/>
  <c r="E64" i="19"/>
  <c r="E15" i="8"/>
  <c r="F20" i="16"/>
  <c r="E26" i="19"/>
  <c r="F26" i="19"/>
  <c r="F21" i="7"/>
  <c r="F16" i="7"/>
  <c r="E16" i="7"/>
  <c r="E61" i="13"/>
  <c r="F48" i="13"/>
  <c r="E48" i="13"/>
  <c r="E43" i="13"/>
  <c r="F43" i="13"/>
  <c r="F55" i="15"/>
  <c r="F46" i="15"/>
  <c r="E52" i="17"/>
  <c r="E7" i="18"/>
  <c r="F7" i="18"/>
  <c r="E28" i="18"/>
  <c r="F27" i="8"/>
  <c r="E27" i="8"/>
  <c r="E14" i="8"/>
  <c r="E53" i="3"/>
  <c r="E55" i="5"/>
  <c r="F52" i="8"/>
  <c r="F52" i="16"/>
  <c r="F51" i="12"/>
  <c r="E56" i="15"/>
  <c r="E45" i="18"/>
  <c r="E32" i="17"/>
  <c r="F16" i="18"/>
  <c r="F27" i="6"/>
  <c r="F32" i="15"/>
  <c r="E28" i="6"/>
  <c r="E50" i="5"/>
  <c r="E53" i="14"/>
  <c r="E59" i="5"/>
  <c r="E51" i="12"/>
  <c r="E61" i="17"/>
  <c r="F45" i="18"/>
  <c r="F60" i="15"/>
  <c r="E58" i="9"/>
  <c r="E14" i="10"/>
  <c r="F20" i="19"/>
  <c r="F32" i="7"/>
  <c r="F21" i="17"/>
  <c r="E31" i="7"/>
  <c r="E19" i="16"/>
  <c r="E57" i="17"/>
  <c r="E51" i="15"/>
  <c r="E58" i="18"/>
  <c r="E63" i="12"/>
  <c r="F27" i="3"/>
  <c r="F50" i="18"/>
  <c r="F66" i="12"/>
  <c r="F63" i="9"/>
  <c r="E63" i="9"/>
  <c r="E33" i="19"/>
  <c r="F22" i="12"/>
  <c r="E22" i="16"/>
  <c r="F22" i="16"/>
  <c r="E10" i="8"/>
  <c r="E30" i="17"/>
  <c r="F30" i="17"/>
  <c r="E30" i="8"/>
  <c r="E29" i="5"/>
  <c r="E29" i="15"/>
  <c r="F53" i="13"/>
  <c r="E49" i="13"/>
  <c r="E61" i="16"/>
  <c r="E59" i="18"/>
  <c r="F27" i="15"/>
  <c r="E8" i="15"/>
  <c r="F8" i="15"/>
  <c r="F27" i="16"/>
  <c r="E27" i="16"/>
  <c r="F58" i="13"/>
  <c r="E19" i="5"/>
  <c r="E31" i="5"/>
  <c r="F32" i="13"/>
  <c r="E23" i="8"/>
  <c r="F46" i="14"/>
  <c r="E28" i="5"/>
  <c r="F42" i="5"/>
  <c r="E42" i="5"/>
  <c r="E49" i="19"/>
  <c r="F46" i="11"/>
  <c r="E46" i="11"/>
  <c r="F56" i="12"/>
  <c r="E56" i="12"/>
  <c r="F58" i="14"/>
  <c r="E58" i="14"/>
  <c r="E19" i="18"/>
  <c r="F22" i="8"/>
  <c r="F26" i="15"/>
  <c r="E26" i="15"/>
  <c r="E32" i="16"/>
  <c r="F32" i="16"/>
  <c r="F45" i="10"/>
  <c r="F22" i="11"/>
  <c r="F16" i="19"/>
  <c r="F18" i="8"/>
  <c r="E42" i="18"/>
  <c r="F52" i="17"/>
  <c r="E20" i="16"/>
  <c r="F67" i="17"/>
  <c r="E67" i="17"/>
  <c r="F61" i="16"/>
  <c r="F64" i="3"/>
  <c r="E64" i="3"/>
  <c r="E19" i="7"/>
  <c r="F19" i="7"/>
  <c r="E13" i="10"/>
  <c r="E25" i="17"/>
  <c r="F20" i="17"/>
  <c r="C40" i="19"/>
  <c r="E32" i="11"/>
  <c r="E27" i="14"/>
  <c r="E60" i="7"/>
  <c r="F58" i="11"/>
  <c r="E58" i="11"/>
  <c r="F53" i="11"/>
  <c r="E33" i="6"/>
  <c r="E7" i="5"/>
  <c r="F17" i="14"/>
  <c r="F47" i="8"/>
  <c r="E48" i="9"/>
  <c r="F52" i="10"/>
  <c r="E12" i="7"/>
  <c r="E7" i="12"/>
  <c r="F42" i="10"/>
  <c r="E42" i="10"/>
  <c r="F9" i="3"/>
  <c r="E24" i="22"/>
  <c r="F13" i="3"/>
  <c r="E51" i="8"/>
  <c r="E61" i="9"/>
  <c r="E56" i="19"/>
  <c r="E57" i="10"/>
  <c r="E66" i="19"/>
  <c r="E18" i="10"/>
  <c r="E31" i="3"/>
  <c r="E37" i="8"/>
  <c r="F37" i="13"/>
  <c r="E43" i="14"/>
  <c r="F46" i="16"/>
  <c r="E60" i="17"/>
  <c r="F52" i="18"/>
  <c r="E7" i="8"/>
  <c r="F7" i="8"/>
  <c r="E27" i="18"/>
  <c r="E31" i="16"/>
  <c r="F30" i="5"/>
  <c r="F30" i="6"/>
  <c r="E30" i="10"/>
  <c r="E11" i="5"/>
  <c r="F11" i="5"/>
  <c r="F12" i="5"/>
  <c r="E9" i="12"/>
  <c r="F48" i="19"/>
  <c r="F45" i="15"/>
  <c r="E52" i="10"/>
  <c r="E51" i="19"/>
  <c r="E48" i="19"/>
  <c r="E20" i="14"/>
  <c r="F15" i="11"/>
  <c r="E20" i="15"/>
  <c r="F32" i="6"/>
  <c r="E8" i="16"/>
  <c r="E33" i="16"/>
  <c r="E13" i="16"/>
  <c r="F25" i="16"/>
  <c r="E25" i="15"/>
  <c r="E47" i="8"/>
  <c r="E58" i="15"/>
  <c r="E13" i="14"/>
  <c r="E52" i="3"/>
  <c r="F43" i="9"/>
  <c r="E56" i="17"/>
  <c r="F43" i="14"/>
  <c r="E65" i="11"/>
  <c r="F61" i="8"/>
  <c r="F56" i="8"/>
  <c r="F15" i="19"/>
  <c r="E15" i="7"/>
  <c r="E7" i="7"/>
  <c r="F7" i="7"/>
  <c r="E8" i="10"/>
  <c r="F8" i="10"/>
  <c r="F56" i="19"/>
  <c r="E51" i="6"/>
  <c r="F51" i="6"/>
  <c r="E43" i="7"/>
  <c r="E57" i="8"/>
  <c r="E49" i="10"/>
  <c r="E65" i="13"/>
  <c r="F7" i="11"/>
  <c r="E21" i="10"/>
  <c r="F43" i="19"/>
  <c r="E43" i="19"/>
  <c r="E52" i="9"/>
  <c r="E7" i="9"/>
  <c r="F7" i="9"/>
  <c r="F23" i="11"/>
  <c r="F21" i="10"/>
  <c r="E26" i="10"/>
  <c r="E42" i="17"/>
  <c r="E64" i="12"/>
  <c r="E16" i="3"/>
  <c r="F16" i="3"/>
  <c r="E59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6" i="6"/>
  <c r="E59" i="6"/>
  <c r="F18" i="10"/>
  <c r="E63" i="14"/>
  <c r="F64" i="10"/>
  <c r="E67" i="9"/>
  <c r="F67" i="9"/>
  <c r="F64" i="9"/>
  <c r="E64" i="9"/>
  <c r="F52" i="9"/>
  <c r="F53" i="5"/>
  <c r="F21" i="3"/>
  <c r="F15" i="3"/>
  <c r="E15" i="3"/>
  <c r="F37" i="14"/>
  <c r="E37" i="14"/>
  <c r="F37" i="18"/>
  <c r="E37" i="18"/>
  <c r="F21" i="8"/>
  <c r="E23" i="19"/>
  <c r="E31" i="11"/>
  <c r="E60" i="11"/>
  <c r="E51" i="11"/>
  <c r="F51" i="11"/>
  <c r="F61" i="12"/>
  <c r="F56" i="14"/>
  <c r="E53" i="16"/>
  <c r="F46" i="17"/>
  <c r="F47" i="18"/>
  <c r="E47" i="18"/>
  <c r="F21" i="18"/>
  <c r="F25" i="6"/>
  <c r="E25" i="6"/>
  <c r="F16" i="8"/>
  <c r="E16" i="8"/>
  <c r="F23" i="15"/>
  <c r="E16" i="16"/>
  <c r="F16" i="16"/>
  <c r="F8" i="17"/>
  <c r="E8" i="17"/>
  <c r="F54" i="22"/>
  <c r="E10" i="3"/>
  <c r="F8" i="23"/>
  <c r="F90" i="23"/>
  <c r="F7" i="23"/>
  <c r="D89" i="23"/>
  <c r="E89" i="23" s="1"/>
  <c r="E83" i="23"/>
  <c r="E23" i="23"/>
  <c r="F22" i="23"/>
  <c r="F18" i="23"/>
  <c r="F14" i="23"/>
  <c r="F24" i="22"/>
  <c r="F55" i="3"/>
  <c r="F46" i="3"/>
  <c r="E23" i="3"/>
  <c r="E17" i="3"/>
  <c r="F37" i="3"/>
  <c r="E21" i="3"/>
  <c r="F51" i="3"/>
  <c r="D56" i="20"/>
  <c r="E60" i="5"/>
  <c r="F55" i="5"/>
  <c r="F46" i="5"/>
  <c r="E26" i="5"/>
  <c r="E15" i="5"/>
  <c r="D10" i="20"/>
  <c r="E58" i="5"/>
  <c r="F7" i="5"/>
  <c r="E64" i="5"/>
  <c r="F23" i="5"/>
  <c r="F58" i="6"/>
  <c r="E60" i="6"/>
  <c r="F53" i="6"/>
  <c r="E49" i="6"/>
  <c r="E42" i="6"/>
  <c r="F42" i="6"/>
  <c r="F55" i="7"/>
  <c r="F13" i="7"/>
  <c r="F18" i="7"/>
  <c r="E52" i="7"/>
  <c r="E48" i="7"/>
  <c r="F32" i="8"/>
  <c r="E8" i="8"/>
  <c r="F19" i="8"/>
  <c r="F55" i="8"/>
  <c r="F37" i="8"/>
  <c r="E13" i="8"/>
  <c r="F23" i="8"/>
  <c r="F66" i="9"/>
  <c r="E66" i="9"/>
  <c r="F13" i="10"/>
  <c r="E66" i="10"/>
  <c r="E59" i="10"/>
  <c r="F10" i="10"/>
  <c r="E45" i="10"/>
  <c r="F50" i="10"/>
  <c r="E18" i="11"/>
  <c r="E7" i="11"/>
  <c r="F14" i="11"/>
  <c r="F18" i="11"/>
  <c r="E33" i="11"/>
  <c r="F52" i="12"/>
  <c r="F7" i="12"/>
  <c r="E28" i="12"/>
  <c r="E37" i="12"/>
  <c r="E66" i="12"/>
  <c r="E43" i="12"/>
  <c r="E50" i="12"/>
  <c r="D11" i="20"/>
  <c r="E60" i="13"/>
  <c r="E46" i="13"/>
  <c r="E57" i="14"/>
  <c r="E67" i="14"/>
  <c r="F64" i="14"/>
  <c r="F66" i="14"/>
  <c r="F12" i="14"/>
  <c r="D12" i="20"/>
  <c r="E9" i="14"/>
  <c r="F21" i="14"/>
  <c r="E12" i="14"/>
  <c r="E52" i="15"/>
  <c r="E21" i="15"/>
  <c r="E50" i="15"/>
  <c r="E23" i="15"/>
  <c r="D55" i="20"/>
  <c r="D61" i="20"/>
  <c r="E60" i="15"/>
  <c r="F52" i="15"/>
  <c r="E33" i="15"/>
  <c r="E46" i="15"/>
  <c r="F56" i="16"/>
  <c r="E45" i="16"/>
  <c r="F58" i="16"/>
  <c r="F60" i="16"/>
  <c r="E14" i="16"/>
  <c r="E47" i="16"/>
  <c r="D49" i="20"/>
  <c r="F8" i="16"/>
  <c r="D53" i="20"/>
  <c r="F25" i="17"/>
  <c r="F14" i="17"/>
  <c r="F7" i="17"/>
  <c r="E33" i="17"/>
  <c r="F56" i="17"/>
  <c r="D37" i="20"/>
  <c r="E58" i="17"/>
  <c r="D48" i="20"/>
  <c r="D59" i="20"/>
  <c r="F18" i="18"/>
  <c r="E43" i="18"/>
  <c r="E63" i="18"/>
  <c r="E20" i="18"/>
  <c r="E31" i="18"/>
  <c r="F67" i="18"/>
  <c r="F61" i="18"/>
  <c r="D57" i="20"/>
  <c r="D64" i="20"/>
  <c r="F22" i="18"/>
  <c r="E67" i="18"/>
  <c r="F64" i="18"/>
  <c r="F42" i="18"/>
  <c r="F66" i="16"/>
  <c r="E66" i="16"/>
  <c r="E63" i="13"/>
  <c r="E65" i="10"/>
  <c r="E62" i="10"/>
  <c r="E66" i="5"/>
  <c r="F66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2" i="16"/>
  <c r="F58" i="3"/>
  <c r="E58" i="3"/>
  <c r="F51" i="7"/>
  <c r="F48" i="8"/>
  <c r="E53" i="9"/>
  <c r="F53" i="9"/>
  <c r="E58" i="10"/>
  <c r="F52" i="11"/>
  <c r="E52" i="11"/>
  <c r="F48" i="16"/>
  <c r="F53" i="17"/>
  <c r="E53" i="17"/>
  <c r="F9" i="7"/>
  <c r="E30" i="11"/>
  <c r="F30" i="11"/>
  <c r="F30" i="7"/>
  <c r="E29" i="10"/>
  <c r="F29" i="10"/>
  <c r="F9" i="16"/>
  <c r="F11" i="14"/>
  <c r="E30" i="7"/>
  <c r="F29" i="5"/>
  <c r="F60" i="3"/>
  <c r="E10" i="12"/>
  <c r="F42" i="9"/>
  <c r="D42" i="20"/>
  <c r="F42" i="12"/>
  <c r="F55" i="11"/>
  <c r="E57" i="18"/>
  <c r="D46" i="20"/>
  <c r="E61" i="5"/>
  <c r="F47" i="3"/>
  <c r="F45" i="9"/>
  <c r="E52" i="6"/>
  <c r="F43" i="8"/>
  <c r="F61" i="14"/>
  <c r="E61" i="14"/>
  <c r="D43" i="20"/>
  <c r="F7" i="14"/>
  <c r="F32" i="17"/>
  <c r="E26" i="14"/>
  <c r="E28" i="17"/>
  <c r="E21" i="17"/>
  <c r="F29" i="12"/>
  <c r="F7" i="3"/>
  <c r="E10" i="16"/>
  <c r="E49" i="17"/>
  <c r="F22" i="7"/>
  <c r="F14" i="7"/>
  <c r="E14" i="7"/>
  <c r="E65" i="12"/>
  <c r="E64" i="11"/>
  <c r="F64" i="11"/>
  <c r="E8" i="9"/>
  <c r="F27" i="12"/>
  <c r="F20" i="12"/>
  <c r="F26" i="17"/>
  <c r="F25" i="3"/>
  <c r="F16" i="14"/>
  <c r="E16" i="14"/>
  <c r="E25" i="5"/>
  <c r="F8" i="13"/>
  <c r="F42" i="14"/>
  <c r="E42" i="14"/>
  <c r="E61" i="6"/>
  <c r="F61" i="6"/>
  <c r="F50" i="8"/>
  <c r="E51" i="9"/>
  <c r="F47" i="9"/>
  <c r="E47" i="9"/>
  <c r="F45" i="13"/>
  <c r="F50" i="14"/>
  <c r="E50" i="14"/>
  <c r="E47" i="14"/>
  <c r="F47" i="14"/>
  <c r="E50" i="16"/>
  <c r="F50" i="16"/>
  <c r="F51" i="17"/>
  <c r="E51" i="17"/>
  <c r="F47" i="17"/>
  <c r="E47" i="17"/>
  <c r="F48" i="18"/>
  <c r="E48" i="18"/>
  <c r="E23" i="16"/>
  <c r="F18" i="16"/>
  <c r="E18" i="16"/>
  <c r="E16" i="17"/>
  <c r="F9" i="9"/>
  <c r="E9" i="9"/>
  <c r="D30" i="20"/>
  <c r="F30" i="18"/>
  <c r="D9" i="20"/>
  <c r="F11" i="7"/>
  <c r="E11" i="14"/>
  <c r="F60" i="10"/>
  <c r="F10" i="3"/>
  <c r="F12" i="3"/>
  <c r="E11" i="7"/>
  <c r="D26" i="20"/>
  <c r="E9" i="16"/>
  <c r="E60" i="3"/>
  <c r="F55" i="14"/>
  <c r="F61" i="15"/>
  <c r="F52" i="14"/>
  <c r="F58" i="17"/>
  <c r="D51" i="20"/>
  <c r="E43" i="8"/>
  <c r="E52" i="18"/>
  <c r="D28" i="20"/>
  <c r="E7" i="13"/>
  <c r="E23" i="20"/>
  <c r="F16" i="5"/>
  <c r="E33" i="13"/>
  <c r="E27" i="12"/>
  <c r="F23" i="16"/>
  <c r="E28" i="13"/>
  <c r="E51" i="7"/>
  <c r="E50" i="18"/>
  <c r="E60" i="10"/>
  <c r="F58" i="15"/>
  <c r="E67" i="13"/>
  <c r="E63" i="15"/>
  <c r="F67" i="7"/>
  <c r="E67" i="7"/>
  <c r="E28" i="7"/>
  <c r="E27" i="10"/>
  <c r="F27" i="10"/>
  <c r="F15" i="10"/>
  <c r="D15" i="20"/>
  <c r="F64" i="17"/>
  <c r="F64" i="16"/>
  <c r="E64" i="16"/>
  <c r="E66" i="15"/>
  <c r="E67" i="3"/>
  <c r="F67" i="3"/>
  <c r="E28" i="16"/>
  <c r="F12" i="16"/>
  <c r="E12" i="16"/>
  <c r="F66" i="13"/>
  <c r="E66" i="13"/>
  <c r="E64" i="8"/>
  <c r="E33" i="18"/>
  <c r="F47" i="11"/>
  <c r="F51" i="16"/>
  <c r="F22" i="5"/>
  <c r="F67" i="19"/>
  <c r="C56" i="23"/>
  <c r="D58" i="20"/>
  <c r="E58" i="19"/>
  <c r="F57" i="20"/>
  <c r="E60" i="19"/>
  <c r="F59" i="20"/>
  <c r="D45" i="20"/>
  <c r="F45" i="19"/>
  <c r="F29" i="19"/>
  <c r="D14" i="20"/>
  <c r="D52" i="20"/>
  <c r="F42" i="19"/>
  <c r="F7" i="19"/>
  <c r="F14" i="19"/>
  <c r="E45" i="19"/>
  <c r="D47" i="20"/>
  <c r="F60" i="19"/>
  <c r="D33" i="20"/>
  <c r="F27" i="19"/>
  <c r="F65" i="20"/>
  <c r="E67" i="19"/>
  <c r="D60" i="20"/>
  <c r="F52" i="19"/>
  <c r="E52" i="19"/>
  <c r="E50" i="19"/>
  <c r="F47" i="19"/>
  <c r="F32" i="19"/>
  <c r="C53" i="23"/>
  <c r="C24" i="20"/>
  <c r="D32" i="20"/>
  <c r="D21" i="20"/>
  <c r="F19" i="19"/>
  <c r="E14" i="19"/>
  <c r="F21" i="19"/>
  <c r="D8" i="20"/>
  <c r="C76" i="23"/>
  <c r="C54" i="20"/>
  <c r="F28" i="20"/>
  <c r="C48" i="23"/>
  <c r="F66" i="17"/>
  <c r="E66" i="17"/>
  <c r="E65" i="16"/>
  <c r="F67" i="12"/>
  <c r="E63" i="7"/>
  <c r="E63" i="5"/>
  <c r="E31" i="10"/>
  <c r="F17" i="10"/>
  <c r="D19" i="20"/>
  <c r="E19" i="17"/>
  <c r="F29" i="3"/>
  <c r="E29" i="3"/>
  <c r="E53" i="22"/>
  <c r="D25" i="20"/>
  <c r="C71" i="23"/>
  <c r="E26" i="13"/>
  <c r="E31" i="12"/>
  <c r="E65" i="6"/>
  <c r="F13" i="12"/>
  <c r="E22" i="19"/>
  <c r="F22" i="19"/>
  <c r="E11" i="16"/>
  <c r="F9" i="5"/>
  <c r="E30" i="9"/>
  <c r="E30" i="3"/>
  <c r="F30" i="3"/>
  <c r="F29" i="17"/>
  <c r="E29" i="17"/>
  <c r="E29" i="8"/>
  <c r="E29" i="6"/>
  <c r="F56" i="22"/>
  <c r="F52" i="22"/>
  <c r="E52" i="22"/>
  <c r="E10" i="7"/>
  <c r="F11" i="16"/>
  <c r="E11" i="3"/>
  <c r="F32" i="5"/>
  <c r="E27" i="7"/>
  <c r="F11" i="12"/>
  <c r="F26" i="13"/>
  <c r="D63" i="20"/>
  <c r="F66" i="11"/>
  <c r="E66" i="11"/>
  <c r="E65" i="8"/>
  <c r="F66" i="7"/>
  <c r="E66" i="7"/>
  <c r="E64" i="7"/>
  <c r="F64" i="7"/>
  <c r="E64" i="6"/>
  <c r="F64" i="6"/>
  <c r="E58" i="22"/>
  <c r="F58" i="22"/>
  <c r="E49" i="22"/>
  <c r="E29" i="12"/>
  <c r="F55" i="19"/>
  <c r="E55" i="19"/>
  <c r="D50" i="20"/>
  <c r="F61" i="3"/>
  <c r="E61" i="3"/>
  <c r="E56" i="3"/>
  <c r="F56" i="3"/>
  <c r="E49" i="3"/>
  <c r="F45" i="3"/>
  <c r="E56" i="5"/>
  <c r="F56" i="5"/>
  <c r="F51" i="5"/>
  <c r="E48" i="5"/>
  <c r="F43" i="5"/>
  <c r="E55" i="6"/>
  <c r="F55" i="6"/>
  <c r="E50" i="6"/>
  <c r="F50" i="6"/>
  <c r="E47" i="6"/>
  <c r="E61" i="7"/>
  <c r="E57" i="7"/>
  <c r="E49" i="7"/>
  <c r="F46" i="7"/>
  <c r="E46" i="7"/>
  <c r="F60" i="9"/>
  <c r="F56" i="9"/>
  <c r="E48" i="10"/>
  <c r="E43" i="10"/>
  <c r="E48" i="11"/>
  <c r="E53" i="12"/>
  <c r="F53" i="12"/>
  <c r="E59" i="13"/>
  <c r="F55" i="16"/>
  <c r="E17" i="19"/>
  <c r="F17" i="19"/>
  <c r="E32" i="22"/>
  <c r="F28" i="22"/>
  <c r="E28" i="22"/>
  <c r="F67" i="16"/>
  <c r="E67" i="16"/>
  <c r="E63" i="16"/>
  <c r="E25" i="10"/>
  <c r="E8" i="12"/>
  <c r="F8" i="12"/>
  <c r="E18" i="19"/>
  <c r="E29" i="9"/>
  <c r="F32" i="10"/>
  <c r="E32" i="10"/>
  <c r="C44" i="20"/>
  <c r="E17" i="10"/>
  <c r="D67" i="20"/>
  <c r="E66" i="22"/>
  <c r="D36" i="20"/>
  <c r="E36" i="20" s="1"/>
  <c r="E57" i="13"/>
  <c r="E9" i="5"/>
  <c r="D13" i="20"/>
  <c r="D27" i="20"/>
  <c r="D17" i="20"/>
  <c r="D22" i="20"/>
  <c r="F19" i="17"/>
  <c r="E56" i="22"/>
  <c r="D7" i="20"/>
  <c r="D18" i="20"/>
  <c r="E66" i="14"/>
  <c r="D65" i="20"/>
  <c r="E65" i="14"/>
  <c r="F8" i="3"/>
  <c r="E8" i="3"/>
  <c r="E30" i="13"/>
  <c r="F7" i="10"/>
  <c r="E20" i="19"/>
  <c r="D20" i="20"/>
  <c r="E27" i="17"/>
  <c r="F27" i="17"/>
  <c r="E22" i="17"/>
  <c r="F17" i="17"/>
  <c r="E17" i="17"/>
  <c r="F26" i="11"/>
  <c r="E26" i="11"/>
  <c r="E31" i="14"/>
  <c r="D31" i="20"/>
  <c r="E33" i="22"/>
  <c r="C62" i="20"/>
  <c r="F49" i="20"/>
  <c r="C70" i="23"/>
  <c r="E67" i="15"/>
  <c r="F67" i="15"/>
  <c r="E63" i="11"/>
  <c r="E63" i="8"/>
  <c r="F63" i="8"/>
  <c r="F62" i="8"/>
  <c r="E37" i="7"/>
  <c r="E48" i="22"/>
  <c r="E45" i="22"/>
  <c r="F45" i="22"/>
  <c r="F23" i="12"/>
  <c r="E23" i="10"/>
  <c r="E16" i="10"/>
  <c r="F16" i="10"/>
  <c r="F42" i="15"/>
  <c r="F61" i="19"/>
  <c r="F53" i="19"/>
  <c r="E53" i="19"/>
  <c r="F55" i="10"/>
  <c r="F61" i="11"/>
  <c r="E61" i="11"/>
  <c r="E59" i="11"/>
  <c r="E45" i="14"/>
  <c r="D16" i="20"/>
  <c r="E19" i="22"/>
  <c r="F64" i="13"/>
  <c r="F67" i="8"/>
  <c r="F67" i="6"/>
  <c r="E63" i="6"/>
  <c r="E65" i="3"/>
  <c r="E20" i="3"/>
  <c r="F20" i="3"/>
  <c r="E14" i="3"/>
  <c r="F18" i="17"/>
  <c r="F61" i="22"/>
  <c r="D62" i="19"/>
  <c r="E31" i="19"/>
  <c r="E66" i="6"/>
  <c r="F66" i="6"/>
  <c r="F23" i="14"/>
  <c r="D66" i="20"/>
  <c r="E54" i="15"/>
  <c r="D44" i="19"/>
  <c r="E44" i="7"/>
  <c r="E54" i="9"/>
  <c r="D54" i="19"/>
  <c r="E13" i="23"/>
  <c r="D12" i="23"/>
  <c r="F12" i="23" s="1"/>
  <c r="D9" i="23"/>
  <c r="C94" i="23"/>
  <c r="D15" i="23"/>
  <c r="E17" i="23"/>
  <c r="E25" i="23"/>
  <c r="F16" i="23"/>
  <c r="E25" i="22"/>
  <c r="E20" i="22"/>
  <c r="E65" i="15"/>
  <c r="E64" i="15"/>
  <c r="F67" i="13"/>
  <c r="E67" i="12"/>
  <c r="E36" i="22"/>
  <c r="E26" i="22"/>
  <c r="E21" i="22"/>
  <c r="E17" i="22"/>
  <c r="E65" i="18"/>
  <c r="F64" i="15"/>
  <c r="E67" i="6"/>
  <c r="F63" i="5"/>
  <c r="E16" i="19"/>
  <c r="D29" i="20"/>
  <c r="E25" i="19"/>
  <c r="E8" i="19"/>
  <c r="E10" i="11"/>
  <c r="E25" i="13"/>
  <c r="E54" i="13"/>
  <c r="F37" i="19"/>
  <c r="D52" i="23" l="1"/>
  <c r="D53" i="23"/>
  <c r="F53" i="23" s="1"/>
  <c r="F51" i="20"/>
  <c r="E30" i="20"/>
  <c r="F43" i="20"/>
  <c r="D38" i="23"/>
  <c r="D45" i="23"/>
  <c r="E45" i="23" s="1"/>
  <c r="C6" i="20"/>
  <c r="E28" i="20"/>
  <c r="E53" i="20"/>
  <c r="F58" i="20"/>
  <c r="D67" i="23"/>
  <c r="F67" i="23" s="1"/>
  <c r="D69" i="23"/>
  <c r="F69" i="23" s="1"/>
  <c r="E56" i="20"/>
  <c r="D71" i="23"/>
  <c r="F71" i="23" s="1"/>
  <c r="F19" i="20"/>
  <c r="F47" i="20"/>
  <c r="E9" i="20"/>
  <c r="F37" i="20"/>
  <c r="D82" i="23"/>
  <c r="F82" i="23" s="1"/>
  <c r="E13" i="20"/>
  <c r="D81" i="23"/>
  <c r="F81" i="23" s="1"/>
  <c r="F42" i="20"/>
  <c r="D88" i="23"/>
  <c r="F31" i="20"/>
  <c r="F17" i="20"/>
  <c r="E20" i="20"/>
  <c r="D87" i="23"/>
  <c r="E8" i="20"/>
  <c r="F21" i="20"/>
  <c r="D73" i="23"/>
  <c r="E73" i="23" s="1"/>
  <c r="F45" i="20"/>
  <c r="D46" i="23"/>
  <c r="E46" i="23" s="1"/>
  <c r="D78" i="23"/>
  <c r="D80" i="23"/>
  <c r="E80" i="23" s="1"/>
  <c r="E49" i="20"/>
  <c r="D76" i="23"/>
  <c r="E6" i="23"/>
  <c r="D19" i="23"/>
  <c r="F62" i="19"/>
  <c r="E78" i="23"/>
  <c r="E38" i="23"/>
  <c r="F36" i="20"/>
  <c r="E7" i="20"/>
  <c r="E67" i="23"/>
  <c r="F70" i="23"/>
  <c r="F78" i="23"/>
  <c r="E54" i="23"/>
  <c r="F54" i="23"/>
  <c r="F63" i="20"/>
  <c r="D85" i="23"/>
  <c r="F85" i="23" s="1"/>
  <c r="D86" i="23"/>
  <c r="F86" i="23" s="1"/>
  <c r="F33" i="20"/>
  <c r="F6" i="23"/>
  <c r="E9" i="23"/>
  <c r="E6" i="9"/>
  <c r="E62" i="9"/>
  <c r="E62" i="16"/>
  <c r="E10" i="20"/>
  <c r="F53" i="20"/>
  <c r="F62" i="9"/>
  <c r="E62" i="15"/>
  <c r="F10" i="20"/>
  <c r="F62" i="16"/>
  <c r="F62" i="18"/>
  <c r="F62" i="15"/>
  <c r="F89" i="23"/>
  <c r="F11" i="20"/>
  <c r="F56" i="20"/>
  <c r="E12" i="23"/>
  <c r="D77" i="23"/>
  <c r="F77" i="23" s="1"/>
  <c r="E12" i="20"/>
  <c r="F14" i="20"/>
  <c r="D50" i="23"/>
  <c r="E50" i="23" s="1"/>
  <c r="F26" i="20"/>
  <c r="F55" i="20"/>
  <c r="F64" i="20"/>
  <c r="E69" i="23"/>
  <c r="E11" i="20"/>
  <c r="D70" i="23"/>
  <c r="E70" i="23" s="1"/>
  <c r="E37" i="20"/>
  <c r="E59" i="20"/>
  <c r="D57" i="23"/>
  <c r="E57" i="23" s="1"/>
  <c r="F12" i="20"/>
  <c r="E15" i="20"/>
  <c r="E76" i="23"/>
  <c r="E64" i="20"/>
  <c r="E55" i="20"/>
  <c r="F15" i="20"/>
  <c r="E48" i="20"/>
  <c r="D74" i="23"/>
  <c r="E74" i="23" s="1"/>
  <c r="E61" i="20"/>
  <c r="F61" i="20"/>
  <c r="D43" i="23"/>
  <c r="F43" i="23" s="1"/>
  <c r="E57" i="20"/>
  <c r="F18" i="20"/>
  <c r="F48" i="20"/>
  <c r="E19" i="20"/>
  <c r="E46" i="20"/>
  <c r="E51" i="20"/>
  <c r="F38" i="23"/>
  <c r="F9" i="20"/>
  <c r="E62" i="18"/>
  <c r="D48" i="23"/>
  <c r="F48" i="23" s="1"/>
  <c r="F30" i="20"/>
  <c r="F46" i="23"/>
  <c r="E60" i="20"/>
  <c r="E24" i="5"/>
  <c r="F24" i="5"/>
  <c r="E24" i="9"/>
  <c r="E18" i="20"/>
  <c r="F23" i="20"/>
  <c r="F62" i="10"/>
  <c r="D66" i="23"/>
  <c r="E66" i="23" s="1"/>
  <c r="D79" i="23"/>
  <c r="E45" i="20"/>
  <c r="D63" i="23"/>
  <c r="E63" i="23" s="1"/>
  <c r="D72" i="23"/>
  <c r="E72" i="23" s="1"/>
  <c r="E26" i="20"/>
  <c r="E24" i="16"/>
  <c r="F24" i="16"/>
  <c r="F62" i="13"/>
  <c r="E62" i="13"/>
  <c r="D64" i="23"/>
  <c r="E43" i="20"/>
  <c r="E40" i="5"/>
  <c r="F46" i="20"/>
  <c r="E42" i="20"/>
  <c r="F24" i="9"/>
  <c r="F25" i="20"/>
  <c r="D56" i="23"/>
  <c r="E56" i="23" s="1"/>
  <c r="E14" i="20"/>
  <c r="E58" i="20"/>
  <c r="E33" i="20"/>
  <c r="F60" i="20"/>
  <c r="D54" i="20"/>
  <c r="F54" i="20" s="1"/>
  <c r="F20" i="20"/>
  <c r="C44" i="23"/>
  <c r="E47" i="20"/>
  <c r="D68" i="23"/>
  <c r="D40" i="23"/>
  <c r="E40" i="23" s="1"/>
  <c r="F52" i="20"/>
  <c r="E52" i="20"/>
  <c r="F76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4" i="10"/>
  <c r="F54" i="10"/>
  <c r="E24" i="3"/>
  <c r="F24" i="3"/>
  <c r="E24" i="8"/>
  <c r="F24" i="8"/>
  <c r="F6" i="8"/>
  <c r="C84" i="23"/>
  <c r="D51" i="23"/>
  <c r="E31" i="20"/>
  <c r="D92" i="23"/>
  <c r="F67" i="20"/>
  <c r="E67" i="20"/>
  <c r="F44" i="22"/>
  <c r="E44" i="22"/>
  <c r="E24" i="7"/>
  <c r="F24" i="7"/>
  <c r="F44" i="15"/>
  <c r="E44" i="15"/>
  <c r="F24" i="18"/>
  <c r="E24" i="18"/>
  <c r="F24" i="11"/>
  <c r="E24" i="11"/>
  <c r="F62" i="12"/>
  <c r="E62" i="12"/>
  <c r="E54" i="6"/>
  <c r="F54" i="6"/>
  <c r="E54" i="3"/>
  <c r="F54" i="3"/>
  <c r="F62" i="6"/>
  <c r="E62" i="6"/>
  <c r="C75" i="23"/>
  <c r="D37" i="23"/>
  <c r="D41" i="19"/>
  <c r="E44" i="19"/>
  <c r="F44" i="19"/>
  <c r="F54" i="15"/>
  <c r="F66" i="20"/>
  <c r="E66" i="20"/>
  <c r="E44" i="9"/>
  <c r="F44" i="9"/>
  <c r="E62" i="19"/>
  <c r="E54" i="11"/>
  <c r="F54" i="11"/>
  <c r="E62" i="8"/>
  <c r="F54" i="5"/>
  <c r="E54" i="5"/>
  <c r="E63" i="20"/>
  <c r="E50" i="20"/>
  <c r="F62" i="17"/>
  <c r="E62" i="17"/>
  <c r="D44" i="20"/>
  <c r="C40" i="20"/>
  <c r="F44" i="7"/>
  <c r="F44" i="11"/>
  <c r="F62" i="11"/>
  <c r="E62" i="22"/>
  <c r="F62" i="22"/>
  <c r="D47" i="23"/>
  <c r="E27" i="20"/>
  <c r="F44" i="3"/>
  <c r="E44" i="3"/>
  <c r="F27" i="20"/>
  <c r="E54" i="19"/>
  <c r="F54" i="19"/>
  <c r="F54" i="7"/>
  <c r="E54" i="7"/>
  <c r="F44" i="14"/>
  <c r="E44" i="14"/>
  <c r="E65" i="20"/>
  <c r="E44" i="11"/>
  <c r="D62" i="20"/>
  <c r="F62" i="20" s="1"/>
  <c r="E82" i="23"/>
  <c r="E17" i="20"/>
  <c r="F16" i="20"/>
  <c r="F54" i="9"/>
  <c r="F24" i="12"/>
  <c r="E24" i="12"/>
  <c r="E54" i="12"/>
  <c r="F54" i="12"/>
  <c r="F62" i="3"/>
  <c r="E62" i="3"/>
  <c r="E62" i="11"/>
  <c r="E40" i="16"/>
  <c r="F40" i="16"/>
  <c r="F62" i="14"/>
  <c r="E62" i="14"/>
  <c r="E62" i="5"/>
  <c r="F62" i="5"/>
  <c r="F7" i="20"/>
  <c r="E22" i="20"/>
  <c r="D42" i="23"/>
  <c r="F22" i="20"/>
  <c r="C41" i="20"/>
  <c r="F24" i="10"/>
  <c r="E24" i="10"/>
  <c r="C65" i="23"/>
  <c r="E62" i="7"/>
  <c r="F62" i="7"/>
  <c r="F50" i="20"/>
  <c r="F6" i="9"/>
  <c r="D94" i="23"/>
  <c r="F94" i="23" s="1"/>
  <c r="E15" i="23"/>
  <c r="F15" i="23"/>
  <c r="E52" i="23"/>
  <c r="F52" i="23"/>
  <c r="E44" i="18"/>
  <c r="F44" i="18"/>
  <c r="F44" i="13"/>
  <c r="E44" i="13"/>
  <c r="F44" i="12"/>
  <c r="E44" i="12"/>
  <c r="E54" i="16"/>
  <c r="F54" i="16"/>
  <c r="F44" i="10"/>
  <c r="E44" i="10"/>
  <c r="F24" i="17"/>
  <c r="E24" i="17"/>
  <c r="F54" i="8"/>
  <c r="E54" i="8"/>
  <c r="E24" i="15"/>
  <c r="F24" i="15"/>
  <c r="F44" i="8"/>
  <c r="E44" i="8"/>
  <c r="F54" i="13"/>
  <c r="F24" i="13"/>
  <c r="F44" i="6"/>
  <c r="E44" i="6"/>
  <c r="F24" i="19"/>
  <c r="D40" i="19"/>
  <c r="D24" i="20"/>
  <c r="D49" i="23"/>
  <c r="F29" i="20"/>
  <c r="E29" i="20"/>
  <c r="F24" i="6"/>
  <c r="E24" i="6"/>
  <c r="E54" i="18"/>
  <c r="F54" i="18"/>
  <c r="F24" i="14"/>
  <c r="E24" i="14"/>
  <c r="F44" i="16"/>
  <c r="E44" i="16"/>
  <c r="F54" i="17"/>
  <c r="E54" i="17"/>
  <c r="F44" i="5"/>
  <c r="E44" i="5"/>
  <c r="F54" i="14"/>
  <c r="E54" i="14"/>
  <c r="E44" i="17"/>
  <c r="F44" i="17"/>
  <c r="E53" i="23" l="1"/>
  <c r="F45" i="23"/>
  <c r="F73" i="23"/>
  <c r="E71" i="23"/>
  <c r="F80" i="23"/>
  <c r="E81" i="23"/>
  <c r="D6" i="20"/>
  <c r="F56" i="23"/>
  <c r="E51" i="23"/>
  <c r="F51" i="23"/>
  <c r="E86" i="23"/>
  <c r="E77" i="23"/>
  <c r="F40" i="5"/>
  <c r="F6" i="5"/>
  <c r="E6" i="5"/>
  <c r="E94" i="23"/>
  <c r="F50" i="23"/>
  <c r="E43" i="23"/>
  <c r="F57" i="23"/>
  <c r="E40" i="8"/>
  <c r="F66" i="23"/>
  <c r="F74" i="23"/>
  <c r="E48" i="23"/>
  <c r="C62" i="23"/>
  <c r="F63" i="23"/>
  <c r="E79" i="23"/>
  <c r="F79" i="23"/>
  <c r="D65" i="23"/>
  <c r="F65" i="23" s="1"/>
  <c r="D75" i="23"/>
  <c r="E75" i="23" s="1"/>
  <c r="E6" i="16"/>
  <c r="F6" i="16"/>
  <c r="E64" i="23"/>
  <c r="F64" i="23"/>
  <c r="F40" i="8"/>
  <c r="F72" i="23"/>
  <c r="E40" i="9"/>
  <c r="F40" i="9"/>
  <c r="E54" i="20"/>
  <c r="D41" i="20"/>
  <c r="E41" i="20" s="1"/>
  <c r="E39" i="23"/>
  <c r="F40" i="23"/>
  <c r="F68" i="23"/>
  <c r="E68" i="23"/>
  <c r="E62" i="20"/>
  <c r="E44" i="20"/>
  <c r="F44" i="20"/>
  <c r="E41" i="23"/>
  <c r="F41" i="23"/>
  <c r="E40" i="3"/>
  <c r="F40" i="3"/>
  <c r="F40" i="10"/>
  <c r="E40" i="10"/>
  <c r="E41" i="7"/>
  <c r="F41" i="7"/>
  <c r="F41" i="9"/>
  <c r="E41" i="9"/>
  <c r="F88" i="23"/>
  <c r="E88" i="23"/>
  <c r="E37" i="23"/>
  <c r="F37" i="23"/>
  <c r="E40" i="11"/>
  <c r="F40" i="11"/>
  <c r="D84" i="23"/>
  <c r="F84" i="23" s="1"/>
  <c r="F87" i="23"/>
  <c r="E87" i="23"/>
  <c r="F40" i="18"/>
  <c r="E40" i="18"/>
  <c r="F41" i="15"/>
  <c r="E41" i="15"/>
  <c r="E6" i="7"/>
  <c r="F6" i="7"/>
  <c r="F92" i="23"/>
  <c r="E92" i="23"/>
  <c r="E85" i="23"/>
  <c r="F40" i="12"/>
  <c r="E40" i="12"/>
  <c r="E47" i="23"/>
  <c r="F47" i="23"/>
  <c r="F41" i="11"/>
  <c r="E41" i="11"/>
  <c r="E40" i="7"/>
  <c r="F40" i="7"/>
  <c r="E6" i="8"/>
  <c r="F42" i="23"/>
  <c r="E42" i="23"/>
  <c r="F6" i="18"/>
  <c r="E6" i="18"/>
  <c r="F41" i="3"/>
  <c r="E41" i="3"/>
  <c r="F41" i="19"/>
  <c r="E41" i="19"/>
  <c r="E6" i="11"/>
  <c r="F6" i="11"/>
  <c r="F41" i="22"/>
  <c r="E41" i="22"/>
  <c r="E6" i="3"/>
  <c r="F6" i="3"/>
  <c r="F19" i="23"/>
  <c r="E19" i="23"/>
  <c r="E41" i="14"/>
  <c r="F41" i="14"/>
  <c r="E40" i="14"/>
  <c r="F40" i="14"/>
  <c r="F49" i="23"/>
  <c r="E49" i="23"/>
  <c r="F6" i="13"/>
  <c r="E6" i="13"/>
  <c r="E6" i="6"/>
  <c r="F6" i="6"/>
  <c r="E40" i="6"/>
  <c r="F40" i="6"/>
  <c r="D44" i="23"/>
  <c r="E24" i="20"/>
  <c r="F24" i="20"/>
  <c r="F6" i="17"/>
  <c r="E6" i="17"/>
  <c r="F41" i="12"/>
  <c r="E41" i="12"/>
  <c r="E41" i="13"/>
  <c r="F41" i="13"/>
  <c r="E41" i="18"/>
  <c r="F41" i="18"/>
  <c r="F41" i="17"/>
  <c r="E41" i="17"/>
  <c r="F41" i="5"/>
  <c r="E41" i="5"/>
  <c r="F41" i="16"/>
  <c r="E41" i="16"/>
  <c r="F6" i="19"/>
  <c r="E6" i="19"/>
  <c r="F41" i="6"/>
  <c r="E41" i="6"/>
  <c r="F6" i="15"/>
  <c r="E6" i="15"/>
  <c r="F6" i="14"/>
  <c r="E6" i="14"/>
  <c r="F40" i="19"/>
  <c r="D40" i="20"/>
  <c r="E40" i="19"/>
  <c r="F40" i="13"/>
  <c r="E41" i="8"/>
  <c r="F41" i="8"/>
  <c r="F40" i="15"/>
  <c r="E40" i="15"/>
  <c r="F40" i="17"/>
  <c r="E40" i="17"/>
  <c r="E41" i="10"/>
  <c r="F41" i="10"/>
  <c r="D62" i="23" l="1"/>
  <c r="E65" i="23"/>
  <c r="F75" i="23"/>
  <c r="F41" i="20"/>
  <c r="E84" i="23"/>
  <c r="F40" i="20"/>
  <c r="E40" i="20"/>
  <c r="F6" i="20"/>
  <c r="E6" i="20"/>
  <c r="E44" i="23"/>
  <c r="F44" i="23"/>
  <c r="F62" i="23" l="1"/>
  <c r="I73" i="23"/>
  <c r="E62" i="23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40" i="22"/>
  <c r="C26" i="23" l="1"/>
  <c r="E34" i="23"/>
  <c r="D30" i="23"/>
  <c r="F30" i="23" s="1"/>
  <c r="D28" i="23"/>
  <c r="E28" i="23" s="1"/>
  <c r="E16" i="22"/>
  <c r="D33" i="23"/>
  <c r="E33" i="23" s="1"/>
  <c r="F34" i="23"/>
  <c r="C60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C24" i="23" l="1"/>
  <c r="C95" i="23"/>
  <c r="D26" i="23"/>
  <c r="D24" i="23" s="1"/>
  <c r="F27" i="23"/>
  <c r="E27" i="23"/>
  <c r="F28" i="23"/>
  <c r="E30" i="23"/>
  <c r="D60" i="23"/>
  <c r="F60" i="23" s="1"/>
  <c r="E40" i="22"/>
  <c r="F33" i="23"/>
  <c r="F29" i="23"/>
  <c r="E6" i="22"/>
  <c r="E31" i="23"/>
  <c r="F35" i="23"/>
  <c r="F6" i="22"/>
  <c r="F32" i="23"/>
  <c r="D95" i="23" l="1"/>
  <c r="C61" i="23"/>
  <c r="C93" i="23" s="1"/>
  <c r="E60" i="23"/>
  <c r="F26" i="23"/>
  <c r="E26" i="23"/>
  <c r="D61" i="23" l="1"/>
  <c r="F24" i="23"/>
  <c r="E24" i="23"/>
  <c r="F95" i="23"/>
  <c r="E95" i="23"/>
  <c r="D93" i="23" l="1"/>
  <c r="F61" i="23"/>
  <c r="E61" i="23"/>
  <c r="E93" i="23" l="1"/>
  <c r="F93" i="23"/>
  <c r="I93" i="23" l="1"/>
  <c r="J73" i="23"/>
  <c r="J62" i="23"/>
</calcChain>
</file>

<file path=xl/sharedStrings.xml><?xml version="1.0" encoding="utf-8"?>
<sst xmlns="http://schemas.openxmlformats.org/spreadsheetml/2006/main" count="2578" uniqueCount="205">
  <si>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</si>
  <si>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</si>
  <si>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</si>
  <si>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</si>
  <si>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</si>
  <si>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</si>
  <si>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</si>
  <si>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</si>
  <si>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</si>
  <si>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</si>
  <si>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</si>
  <si>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</si>
  <si>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</si>
  <si>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</si>
  <si>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</si>
  <si>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</si>
  <si>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</si>
  <si>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</si>
  <si>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</si>
  <si>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</si>
  <si>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</si>
  <si>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</si>
  <si>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</si>
  <si>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</si>
  <si>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</si>
  <si>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</si>
  <si>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</si>
  <si>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</si>
  <si>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</si>
  <si>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</si>
  <si>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</si>
  <si>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</si>
  <si>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</si>
  <si>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</si>
  <si>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</si>
  <si>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</si>
  <si>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</si>
  <si>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</si>
  <si>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</si>
  <si>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</si>
  <si>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</si>
  <si>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</si>
  <si>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</si>
  <si>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</si>
  <si>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</si>
  <si>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</si>
  <si>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</si>
  <si>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</si>
  <si>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</si>
  <si>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</si>
  <si>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</si>
  <si>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</si>
  <si>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</si>
  <si>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</si>
  <si>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</si>
  <si>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</si>
  <si>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</si>
  <si>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</si>
  <si>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</si>
  <si>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</si>
  <si>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</si>
  <si>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</si>
  <si>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</si>
  <si>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</si>
  <si>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</si>
  <si>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</si>
  <si>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</si>
  <si>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</si>
  <si>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</si>
  <si>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</si>
  <si>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</si>
  <si>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</si>
  <si>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</si>
  <si>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</si>
  <si>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</si>
  <si>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</si>
  <si>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</si>
  <si>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</si>
  <si>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</si>
  <si>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</si>
  <si>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</si>
  <si>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</si>
  <si>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</si>
  <si>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</si>
  <si>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</si>
  <si>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</si>
  <si>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</si>
  <si>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</si>
  <si>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</si>
  <si>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</si>
  <si>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</si>
  <si>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</si>
  <si>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</si>
  <si>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</si>
  <si>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</si>
  <si>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</si>
  <si>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</si>
  <si>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</si>
  <si>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</si>
  <si>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</si>
  <si>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</si>
  <si>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</si>
  <si>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</si>
  <si>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</si>
  <si>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</si>
  <si>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</si>
  <si>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</si>
  <si>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</si>
  <si>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</si>
  <si>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</si>
  <si>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</si>
  <si>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</si>
  <si>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</si>
  <si>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</si>
  <si>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</si>
  <si>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</si>
  <si>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</si>
  <si>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</si>
  <si>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</si>
  <si>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</si>
  <si>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</si>
  <si>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</si>
  <si>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</si>
  <si>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</si>
  <si>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</si>
  <si>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</si>
  <si>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</si>
  <si>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</si>
  <si>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</si>
  <si>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</si>
  <si>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</si>
  <si>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</si>
  <si>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</si>
  <si>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</si>
  <si>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</si>
  <si>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</si>
  <si>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</si>
  <si>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</si>
  <si>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</si>
  <si>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</si>
  <si>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</si>
  <si>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</si>
  <si>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</si>
  <si>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</si>
  <si>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</si>
  <si>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</si>
  <si>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</si>
  <si>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</si>
  <si>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</si>
  <si>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</si>
  <si>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</si>
  <si>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</si>
  <si>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</si>
  <si>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</si>
  <si>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</si>
  <si>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</si>
  <si>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</si>
  <si>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</si>
  <si>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</si>
  <si>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</si>
  <si>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</si>
  <si>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</si>
  <si>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</si>
  <si>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</si>
  <si>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</si>
  <si>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</si>
  <si>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</si>
  <si>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</si>
  <si>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</si>
  <si>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</si>
  <si>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</si>
  <si>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</si>
  <si>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</si>
  <si>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</si>
  <si>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</si>
  <si>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</si>
  <si>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</si>
  <si>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</si>
  <si>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</si>
  <si>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</si>
  <si>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</si>
  <si>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</si>
  <si>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</si>
  <si>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</si>
  <si>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</si>
  <si>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</si>
  <si>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</si>
  <si>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</si>
  <si>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</si>
  <si>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</si>
  <si>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</si>
  <si>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</si>
  <si>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</si>
  <si>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</si>
  <si>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</si>
  <si>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</si>
  <si>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</si>
  <si>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</si>
  <si>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>Plan na
2019 rok</t>
  </si>
  <si>
    <t>B6</t>
  </si>
  <si>
    <t>Koszty zadania, o którym mowa w art. 97 ust. 3 pkt 4c ustawy</t>
  </si>
  <si>
    <t>Koszty realizacji zadań (B1 + B2 + B3 + B4 + B5 + B6)</t>
  </si>
  <si>
    <t>Przychody netto z działalności
(1-2+3-4-5) + A1 + A2 + A3 + A4</t>
  </si>
  <si>
    <t>dotacje z budżetu państwa na finansowanie zadań, o których mowa w art. 97 ust. 3
pkt 2a-2c, 3 i 3b ustawy</t>
  </si>
  <si>
    <t>ZMIANA PLANU FINANSOWEGO NARODOWEGO FUNDUSZU ZDROWIA NA 2019 ROK Z DNIA 5 CZERWCA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</si>
</sst>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  <font>
      <sz val="18"/>
      <name val="Times New Roman CE"/>
      <family val="1"/>
      <charset val="238"/>
    </font>
    <font>
      <b/>
      <sz val="20"/>
      <color rgb="FF0070C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8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3" fontId="23" fillId="0" borderId="0" xfId="0" applyNumberFormat="1" applyFont="1" applyFill="1"/>
    <xf numFmtId="0" fontId="39" fillId="0" borderId="0" xfId="0" applyFont="1" applyFill="1" applyAlignment="1">
      <alignment horizontal="center" vertical="center" wrapText="1"/>
    </xf>
    <xf numFmtId="10" fontId="19" fillId="0" borderId="0" xfId="19" applyNumberFormat="1" applyFont="1" applyFill="1"/>
    <xf numFmtId="10" fontId="40" fillId="0" borderId="0" xfId="19" applyNumberFormat="1" applyFont="1" applyFill="1"/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file\Dane\Documents%20and%20Settings\katarzyna.sadowska\Ustawienia%20lokalne\Temporary%20Internet%20Files\OLK78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yta\2019\PRZESUNI&#280;CIA\2019\Maj\&#347;wiadczenia_23.05.2019\&#346;wiadczenia_23.0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NFZ"/>
    </sheetNames>
    <sheetDataSet>
      <sheetData sheetId="0">
        <row r="7">
          <cell r="A7" t="str">
            <v>1.1</v>
          </cell>
          <cell r="B7" t="str">
            <v>od ZUS</v>
          </cell>
          <cell r="C7">
            <v>80905171</v>
          </cell>
          <cell r="D7">
            <v>80905171</v>
          </cell>
        </row>
        <row r="8">
          <cell r="A8" t="str">
            <v>1.2</v>
          </cell>
          <cell r="B8" t="str">
            <v>od KRUS</v>
          </cell>
          <cell r="C8">
            <v>3350340</v>
          </cell>
          <cell r="D8">
            <v>3350340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115000</v>
          </cell>
          <cell r="D12">
            <v>115000</v>
          </cell>
        </row>
        <row r="13">
          <cell r="A13" t="str">
            <v>3.1</v>
          </cell>
          <cell r="B13" t="str">
            <v>od ZUS</v>
          </cell>
          <cell r="C13">
            <v>115000</v>
          </cell>
          <cell r="D13">
            <v>115000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144762</v>
          </cell>
          <cell r="D15">
            <v>144762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141785</v>
          </cell>
          <cell r="D16">
            <v>141785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2977</v>
          </cell>
          <cell r="D17">
            <v>2977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36785</v>
          </cell>
          <cell r="D18">
            <v>36785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88213938</v>
          </cell>
          <cell r="D19">
            <v>88213938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267150</v>
          </cell>
          <cell r="D20">
            <v>267150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3745</v>
          </cell>
          <cell r="D21">
            <v>3745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1597247</v>
          </cell>
          <cell r="D22">
            <v>1597247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2156832</v>
          </cell>
          <cell r="D23">
            <v>2156832</v>
          </cell>
        </row>
        <row r="24">
          <cell r="A24" t="str">
            <v>B</v>
          </cell>
          <cell r="B24" t="str">
            <v>Koszty realizacji zadań (B1 + B2 + B3 + B4 + B5 + B6)</v>
          </cell>
          <cell r="C24">
            <v>88317962</v>
          </cell>
          <cell r="D24">
            <v>88317962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107519</v>
          </cell>
          <cell r="D25">
            <v>107519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85296211</v>
          </cell>
          <cell r="D26">
            <v>85296211</v>
          </cell>
        </row>
        <row r="27">
          <cell r="A27" t="str">
            <v>B2.1</v>
          </cell>
          <cell r="B27" t="str">
            <v>podstawowa opieka zdrowotna</v>
          </cell>
          <cell r="C27">
            <v>11251594</v>
          </cell>
          <cell r="D27">
            <v>11251594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4833582</v>
          </cell>
          <cell r="D28">
            <v>4835882</v>
          </cell>
        </row>
        <row r="29">
          <cell r="A29" t="str">
            <v>B2.3</v>
          </cell>
          <cell r="B29" t="str">
            <v>leczenie szpitalne, w tym:</v>
          </cell>
          <cell r="C29">
            <v>44060297</v>
          </cell>
          <cell r="D29">
            <v>44100547</v>
          </cell>
        </row>
        <row r="30">
          <cell r="A30" t="str">
            <v>B2.3.1</v>
          </cell>
          <cell r="B30" t="str">
            <v>programy lekowe, w tym:</v>
          </cell>
          <cell r="C30">
            <v>4154842</v>
          </cell>
          <cell r="D30">
            <v>4182842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3763620</v>
          </cell>
          <cell r="D31">
            <v>3791620</v>
          </cell>
        </row>
        <row r="32">
          <cell r="A32" t="str">
            <v>B2.3.2</v>
          </cell>
          <cell r="B32" t="str">
            <v>chemioterapia, w tym:</v>
          </cell>
          <cell r="C32">
            <v>1551813</v>
          </cell>
          <cell r="D32">
            <v>1551813</v>
          </cell>
        </row>
        <row r="33">
          <cell r="A33" t="str">
            <v>B2.3.2.1</v>
          </cell>
          <cell r="B33" t="str">
            <v>leki stosowane w chemioterapii</v>
          </cell>
          <cell r="C33">
            <v>740505</v>
          </cell>
          <cell r="D33">
            <v>740505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2886097</v>
          </cell>
          <cell r="D34">
            <v>2894797</v>
          </cell>
        </row>
        <row r="35">
          <cell r="A35" t="str">
            <v>B2.5</v>
          </cell>
          <cell r="B35" t="str">
            <v>rehabilitacja lecznicza</v>
          </cell>
          <cell r="C35">
            <v>2709468</v>
          </cell>
          <cell r="D35">
            <v>2709468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1730500</v>
          </cell>
          <cell r="D36">
            <v>1733600</v>
          </cell>
        </row>
        <row r="37">
          <cell r="A37" t="str">
            <v>B2.7</v>
          </cell>
          <cell r="B37" t="str">
            <v>opieka paliatywna i hospicyjna</v>
          </cell>
          <cell r="C37">
            <v>762635</v>
          </cell>
          <cell r="D37">
            <v>763935</v>
          </cell>
        </row>
        <row r="38">
          <cell r="A38" t="str">
            <v>B2.8</v>
          </cell>
          <cell r="B38" t="str">
            <v>leczenie stomatologiczne</v>
          </cell>
          <cell r="C38">
            <v>1893455</v>
          </cell>
          <cell r="D38">
            <v>1894205</v>
          </cell>
        </row>
        <row r="39">
          <cell r="A39" t="str">
            <v>B2.9</v>
          </cell>
          <cell r="B39" t="str">
            <v>lecznictwo uzdrowiskowe</v>
          </cell>
          <cell r="C39">
            <v>734532</v>
          </cell>
          <cell r="D39">
            <v>734532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53432</v>
          </cell>
          <cell r="D40">
            <v>53432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206731</v>
          </cell>
          <cell r="D41">
            <v>206731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2166481</v>
          </cell>
          <cell r="D42">
            <v>2168481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1199232</v>
          </cell>
          <cell r="D43">
            <v>1199232</v>
          </cell>
        </row>
        <row r="44">
          <cell r="A44" t="str">
            <v>B2.14</v>
          </cell>
          <cell r="B44" t="str">
            <v>refundacja, z tego:</v>
          </cell>
          <cell r="C44">
            <v>8731986</v>
          </cell>
          <cell r="D44">
            <v>8703986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8697158</v>
          </cell>
          <cell r="D45">
            <v>8669158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20631</v>
          </cell>
          <cell r="D46">
            <v>20631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14197</v>
          </cell>
          <cell r="D47">
            <v>14197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748250</v>
          </cell>
          <cell r="D48">
            <v>748250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32575</v>
          </cell>
          <cell r="D49">
            <v>32575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719584</v>
          </cell>
          <cell r="D52">
            <v>687334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114719</v>
          </cell>
          <cell r="D53">
            <v>114719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15779</v>
          </cell>
          <cell r="D54">
            <v>15779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445282</v>
          </cell>
          <cell r="D55">
            <v>447132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3745</v>
          </cell>
          <cell r="D56">
            <v>3745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2156832</v>
          </cell>
          <cell r="D57">
            <v>2156832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733400</v>
          </cell>
          <cell r="D58">
            <v>733400</v>
          </cell>
        </row>
        <row r="59">
          <cell r="A59" t="str">
            <v>B6</v>
          </cell>
          <cell r="B59" t="str">
            <v>Koszty zadania, o którym mowa w art. 97 ust. 3 pkt 4c ustawy</v>
          </cell>
          <cell r="C59">
            <v>20255</v>
          </cell>
          <cell r="D59">
            <v>20255</v>
          </cell>
        </row>
        <row r="60">
          <cell r="A60" t="str">
            <v>Bn</v>
          </cell>
          <cell r="B60" t="str">
            <v>Całkowity budżet na refundację
(B2.3.1.1+B2.3.2.1+B2.14+B2.16.1)</v>
          </cell>
          <cell r="C60">
            <v>13236111</v>
          </cell>
          <cell r="D60">
            <v>13236111</v>
          </cell>
        </row>
        <row r="61">
          <cell r="A61" t="str">
            <v>C</v>
          </cell>
          <cell r="B61" t="str">
            <v>WYNIK NA DZIAŁALNOŚCI (A - B)</v>
          </cell>
          <cell r="C61">
            <v>-104024</v>
          </cell>
          <cell r="D61">
            <v>-104024</v>
          </cell>
        </row>
        <row r="62">
          <cell r="A62" t="str">
            <v>D</v>
          </cell>
          <cell r="B62" t="str">
            <v>Koszty administracyjne (D1 + … + D8)</v>
          </cell>
          <cell r="C62">
            <v>844207</v>
          </cell>
          <cell r="D62">
            <v>844207</v>
          </cell>
        </row>
        <row r="63">
          <cell r="A63" t="str">
            <v>D1</v>
          </cell>
          <cell r="B63" t="str">
            <v>zużycie materiałów i energii</v>
          </cell>
          <cell r="C63">
            <v>25595</v>
          </cell>
          <cell r="D63">
            <v>25595</v>
          </cell>
        </row>
        <row r="64">
          <cell r="A64" t="str">
            <v>D2</v>
          </cell>
          <cell r="B64" t="str">
            <v>usługi obce</v>
          </cell>
          <cell r="C64">
            <v>214341</v>
          </cell>
          <cell r="D64">
            <v>214341</v>
          </cell>
        </row>
        <row r="65">
          <cell r="A65" t="str">
            <v>D3</v>
          </cell>
          <cell r="B65" t="str">
            <v>podatki i opłaty, z tego:</v>
          </cell>
          <cell r="C65">
            <v>4888</v>
          </cell>
          <cell r="D65">
            <v>4888</v>
          </cell>
        </row>
        <row r="66">
          <cell r="A66" t="str">
            <v>D3.1</v>
          </cell>
          <cell r="B66" t="str">
            <v>podatki stanowiące dochody własne jednostek samorządu terytorialnego, w tym:</v>
          </cell>
          <cell r="C66">
            <v>669</v>
          </cell>
          <cell r="D66">
            <v>669</v>
          </cell>
        </row>
        <row r="67">
          <cell r="A67" t="str">
            <v>D3.1.1</v>
          </cell>
          <cell r="B67" t="str">
            <v>podatek od nieruchomości</v>
          </cell>
          <cell r="C67">
            <v>666</v>
          </cell>
          <cell r="D67">
            <v>666</v>
          </cell>
        </row>
        <row r="68">
          <cell r="A68" t="str">
            <v>D3.2</v>
          </cell>
          <cell r="B68" t="str">
            <v>opłaty stanowiące dochody własne jednostek samorządu terytorialnego</v>
          </cell>
          <cell r="C68">
            <v>733</v>
          </cell>
          <cell r="D68">
            <v>733</v>
          </cell>
        </row>
        <row r="69">
          <cell r="A69" t="str">
            <v>D3.3</v>
          </cell>
          <cell r="B69" t="str">
            <v>VAT</v>
          </cell>
          <cell r="C69">
            <v>23</v>
          </cell>
          <cell r="D69">
            <v>23</v>
          </cell>
        </row>
        <row r="70">
          <cell r="A70" t="str">
            <v>D3.4</v>
          </cell>
          <cell r="B70" t="str">
            <v>podatek akcyzowy</v>
          </cell>
          <cell r="C70">
            <v>0</v>
          </cell>
          <cell r="D70">
            <v>0</v>
          </cell>
        </row>
        <row r="71">
          <cell r="A71" t="str">
            <v>D3.5</v>
          </cell>
          <cell r="B71" t="str">
            <v>wpłaty na PFRON</v>
          </cell>
          <cell r="C71">
            <v>3004</v>
          </cell>
          <cell r="D71">
            <v>3004</v>
          </cell>
        </row>
        <row r="72">
          <cell r="A72" t="str">
            <v>D3.6</v>
          </cell>
          <cell r="B72" t="str">
            <v>inne</v>
          </cell>
          <cell r="C72">
            <v>459</v>
          </cell>
          <cell r="D72">
            <v>459</v>
          </cell>
        </row>
        <row r="73">
          <cell r="A73" t="str">
            <v>D4</v>
          </cell>
          <cell r="B73" t="str">
            <v>wynagrodzenia, w tym:</v>
          </cell>
          <cell r="C73">
            <v>389546</v>
          </cell>
          <cell r="D73">
            <v>389546</v>
          </cell>
        </row>
        <row r="74">
          <cell r="A74" t="str">
            <v>D4.1</v>
          </cell>
          <cell r="B74" t="str">
            <v>wynagrodzenia bezosobowe</v>
          </cell>
          <cell r="C74">
            <v>1603</v>
          </cell>
          <cell r="D74">
            <v>1603</v>
          </cell>
        </row>
        <row r="75">
          <cell r="A75" t="str">
            <v>D5</v>
          </cell>
          <cell r="B75" t="str">
            <v>ubezpieczenie społeczne i inne świadczenia, z tego:</v>
          </cell>
          <cell r="C75">
            <v>88224</v>
          </cell>
          <cell r="D75">
            <v>88224</v>
          </cell>
        </row>
        <row r="76">
          <cell r="A76" t="str">
            <v>D5.1</v>
          </cell>
          <cell r="B76" t="str">
            <v>składki na Fundusz Ubezpieczeń Społecznych</v>
          </cell>
          <cell r="C76">
            <v>66906</v>
          </cell>
          <cell r="D76">
            <v>66906</v>
          </cell>
        </row>
        <row r="77">
          <cell r="A77" t="str">
            <v>D5.2</v>
          </cell>
          <cell r="B77" t="str">
            <v>składki na Fundusz Pracy</v>
          </cell>
          <cell r="C77">
            <v>9545</v>
          </cell>
          <cell r="D77">
            <v>9545</v>
          </cell>
        </row>
        <row r="78">
          <cell r="A78" t="str">
            <v>D5.3</v>
          </cell>
          <cell r="B78" t="str">
            <v>składki na Fundusz Gwarantowanych Świadczeń Pracowniczych</v>
          </cell>
          <cell r="C78">
            <v>0</v>
          </cell>
          <cell r="D78">
            <v>0</v>
          </cell>
        </row>
        <row r="79">
          <cell r="A79" t="str">
            <v>D5.4</v>
          </cell>
          <cell r="B79" t="str">
            <v>pozostałe świadczenia</v>
          </cell>
          <cell r="C79">
            <v>11773</v>
          </cell>
          <cell r="D79">
            <v>11773</v>
          </cell>
        </row>
        <row r="80">
          <cell r="A80" t="str">
            <v>D6</v>
          </cell>
          <cell r="B80" t="str">
            <v>koszty funkcjonowania Rady Funduszu</v>
          </cell>
          <cell r="C80">
            <v>50</v>
          </cell>
          <cell r="D80">
            <v>50</v>
          </cell>
        </row>
        <row r="81">
          <cell r="A81" t="str">
            <v>D7</v>
          </cell>
          <cell r="B81" t="str">
            <v>amortyzacja środków trwałych oraz wartości niematerialnych i prawnych</v>
          </cell>
          <cell r="C81">
            <v>115111</v>
          </cell>
          <cell r="D81">
            <v>115111</v>
          </cell>
        </row>
        <row r="82">
          <cell r="A82" t="str">
            <v>D8</v>
          </cell>
          <cell r="B82" t="str">
            <v>pozostałe koszty administracyjne</v>
          </cell>
          <cell r="C82">
            <v>6452</v>
          </cell>
          <cell r="D82">
            <v>6452</v>
          </cell>
        </row>
        <row r="83">
          <cell r="A83" t="str">
            <v>E</v>
          </cell>
          <cell r="B83" t="str">
            <v>Pozostałe przychody</v>
          </cell>
          <cell r="C83">
            <v>428065</v>
          </cell>
          <cell r="D83">
            <v>428065</v>
          </cell>
        </row>
        <row r="84">
          <cell r="A84" t="str">
            <v>F</v>
          </cell>
          <cell r="B84" t="str">
            <v>Pozostałe koszty (F1+ … +F4)</v>
          </cell>
          <cell r="C84">
            <v>160423</v>
          </cell>
          <cell r="D84">
            <v>160423</v>
          </cell>
        </row>
        <row r="85">
          <cell r="A85" t="str">
            <v>F1</v>
          </cell>
          <cell r="B85" t="str">
            <v>wydanie i utrzymanie kart ubezpieczenia (w tym części stałych i zamiennych książeczek usług medycznych) oraz recept</v>
          </cell>
          <cell r="C85">
            <v>1592</v>
          </cell>
          <cell r="D85">
            <v>1592</v>
          </cell>
        </row>
        <row r="86">
          <cell r="A86" t="str">
            <v>F2</v>
          </cell>
          <cell r="B86" t="str">
            <v>rezerwa na zobowiązania wynikające z postępowań sądowych</v>
          </cell>
          <cell r="C86">
            <v>122128</v>
          </cell>
          <cell r="D86">
            <v>122128</v>
          </cell>
        </row>
        <row r="87">
          <cell r="A87" t="str">
            <v>F3</v>
          </cell>
          <cell r="B87" t="str">
            <v>inne rezerwy</v>
          </cell>
          <cell r="C87">
            <v>0</v>
          </cell>
          <cell r="D87">
            <v>0</v>
          </cell>
        </row>
        <row r="88">
          <cell r="A88" t="str">
            <v>F4</v>
          </cell>
          <cell r="B88" t="str">
            <v>inne koszty</v>
          </cell>
          <cell r="C88">
            <v>36703</v>
          </cell>
          <cell r="D88">
            <v>36703</v>
          </cell>
        </row>
        <row r="89">
          <cell r="A89" t="str">
            <v>G</v>
          </cell>
          <cell r="B89" t="str">
            <v>Przychody finansowe (G1 + G2)</v>
          </cell>
          <cell r="C89">
            <v>42027</v>
          </cell>
          <cell r="D89">
            <v>42027</v>
          </cell>
        </row>
        <row r="90">
          <cell r="A90" t="str">
            <v>G1</v>
          </cell>
          <cell r="B90" t="str">
            <v xml:space="preserve">odsetki uzyskane z lokat </v>
          </cell>
          <cell r="C90">
            <v>36161</v>
          </cell>
          <cell r="D90">
            <v>36161</v>
          </cell>
        </row>
        <row r="91">
          <cell r="A91" t="str">
            <v>G2</v>
          </cell>
          <cell r="B91" t="str">
            <v>inne przychody finansowe</v>
          </cell>
          <cell r="C91">
            <v>5866</v>
          </cell>
          <cell r="D91">
            <v>5866</v>
          </cell>
        </row>
        <row r="92">
          <cell r="A92" t="str">
            <v>H</v>
          </cell>
          <cell r="B92" t="str">
            <v>Koszty finansowe</v>
          </cell>
          <cell r="C92">
            <v>41438</v>
          </cell>
          <cell r="D92">
            <v>41438</v>
          </cell>
        </row>
        <row r="93">
          <cell r="A93" t="str">
            <v>I</v>
          </cell>
          <cell r="B93" t="str">
            <v>WYNIK FINANSOWY OGÓŁEM NETTO
(C - D + E - F + G - H)</v>
          </cell>
          <cell r="C93">
            <v>-680000</v>
          </cell>
          <cell r="D93">
            <v>-680000</v>
          </cell>
        </row>
        <row r="94">
          <cell r="A94" t="str">
            <v>J</v>
          </cell>
          <cell r="B94" t="str">
            <v xml:space="preserve"> PRZYCHODY - ogółem</v>
          </cell>
          <cell r="C94">
            <v>88828792</v>
          </cell>
          <cell r="D94">
            <v>88828792</v>
          </cell>
        </row>
        <row r="95">
          <cell r="A95" t="str">
            <v>K</v>
          </cell>
          <cell r="B95" t="str">
            <v xml:space="preserve"> KOSZTY - ogółem</v>
          </cell>
          <cell r="C95">
            <v>89508792</v>
          </cell>
          <cell r="D95">
            <v>89508792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748250</v>
          </cell>
          <cell r="D28">
            <v>748250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114719</v>
          </cell>
          <cell r="D33">
            <v>114719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14765</v>
          </cell>
          <cell r="D35">
            <v>14765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20255</v>
          </cell>
          <cell r="D39">
            <v>20255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0</v>
          </cell>
          <cell r="D40">
            <v>0</v>
          </cell>
        </row>
        <row r="41">
          <cell r="A41" t="str">
            <v>D</v>
          </cell>
          <cell r="B41" t="str">
            <v>Koszty administracyjne ( D1+...+D8 )</v>
          </cell>
          <cell r="C41">
            <v>275651</v>
          </cell>
          <cell r="D41">
            <v>275651</v>
          </cell>
        </row>
        <row r="42">
          <cell r="A42" t="str">
            <v>D1</v>
          </cell>
          <cell r="B42" t="str">
            <v>zużycie materiałów i energii</v>
          </cell>
          <cell r="C42">
            <v>3563</v>
          </cell>
          <cell r="D42">
            <v>3563</v>
          </cell>
        </row>
        <row r="43">
          <cell r="A43" t="str">
            <v>D2</v>
          </cell>
          <cell r="B43" t="str">
            <v>usługi obce</v>
          </cell>
          <cell r="C43">
            <v>135567</v>
          </cell>
          <cell r="D43">
            <v>135567</v>
          </cell>
        </row>
        <row r="44">
          <cell r="A44" t="str">
            <v>D3</v>
          </cell>
          <cell r="B44" t="str">
            <v>podatki i opłaty, z tego</v>
          </cell>
          <cell r="C44">
            <v>793</v>
          </cell>
          <cell r="D44">
            <v>793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100</v>
          </cell>
          <cell r="D45">
            <v>100</v>
          </cell>
        </row>
        <row r="46">
          <cell r="A46" t="str">
            <v>D3.1.1</v>
          </cell>
          <cell r="B46" t="str">
            <v>podatek od nieruchomości</v>
          </cell>
          <cell r="C46">
            <v>100</v>
          </cell>
          <cell r="D46">
            <v>100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94</v>
          </cell>
          <cell r="D47">
            <v>94</v>
          </cell>
        </row>
        <row r="48">
          <cell r="A48" t="str">
            <v>D3.3</v>
          </cell>
          <cell r="B48" t="str">
            <v>VAT</v>
          </cell>
          <cell r="C48">
            <v>15</v>
          </cell>
          <cell r="D48">
            <v>15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434</v>
          </cell>
          <cell r="D50">
            <v>434</v>
          </cell>
        </row>
        <row r="51">
          <cell r="A51" t="str">
            <v>D3.6</v>
          </cell>
          <cell r="B51" t="str">
            <v>inne</v>
          </cell>
          <cell r="C51">
            <v>150</v>
          </cell>
          <cell r="D51">
            <v>150</v>
          </cell>
        </row>
        <row r="52">
          <cell r="A52" t="str">
            <v>D4</v>
          </cell>
          <cell r="B52" t="str">
            <v>wynagrodzenia, w tym:</v>
          </cell>
          <cell r="C52">
            <v>52414</v>
          </cell>
          <cell r="D52">
            <v>52414</v>
          </cell>
        </row>
        <row r="53">
          <cell r="A53" t="str">
            <v>D4.1</v>
          </cell>
          <cell r="B53" t="str">
            <v>wynagrodzenia bezosobowe</v>
          </cell>
          <cell r="C53">
            <v>493</v>
          </cell>
          <cell r="D53">
            <v>493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12839</v>
          </cell>
          <cell r="D54">
            <v>12839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9039</v>
          </cell>
          <cell r="D55">
            <v>9039</v>
          </cell>
        </row>
        <row r="56">
          <cell r="A56" t="str">
            <v>D5.2</v>
          </cell>
          <cell r="B56" t="str">
            <v>składki na Fundusz Pracy</v>
          </cell>
          <cell r="C56">
            <v>1281</v>
          </cell>
          <cell r="D56">
            <v>1281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2519</v>
          </cell>
          <cell r="D58">
            <v>2519</v>
          </cell>
        </row>
        <row r="59">
          <cell r="A59" t="str">
            <v>D6</v>
          </cell>
          <cell r="B59" t="str">
            <v>koszty funkcjonowania Rady Funduszu</v>
          </cell>
          <cell r="C59">
            <v>50</v>
          </cell>
          <cell r="D59">
            <v>50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68048</v>
          </cell>
          <cell r="D60">
            <v>68048</v>
          </cell>
        </row>
        <row r="61">
          <cell r="A61" t="str">
            <v>D8</v>
          </cell>
          <cell r="B61" t="str">
            <v>pozostałe koszty administracyjne</v>
          </cell>
          <cell r="C61">
            <v>2377</v>
          </cell>
          <cell r="D61">
            <v>2377</v>
          </cell>
        </row>
        <row r="62">
          <cell r="A62" t="str">
            <v>F</v>
          </cell>
          <cell r="B62" t="str">
            <v>Pozostałe koszty (F1+...+F4)</v>
          </cell>
          <cell r="C62">
            <v>7187</v>
          </cell>
          <cell r="D62">
            <v>7187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1185</v>
          </cell>
          <cell r="D63">
            <v>1185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0</v>
          </cell>
          <cell r="D64">
            <v>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6002</v>
          </cell>
          <cell r="D66">
            <v>6002</v>
          </cell>
        </row>
        <row r="67">
          <cell r="A67" t="str">
            <v>H</v>
          </cell>
          <cell r="B67" t="str">
            <v>Koszty finansowe</v>
          </cell>
          <cell r="C67">
            <v>14182</v>
          </cell>
          <cell r="D67">
            <v>14182</v>
          </cell>
        </row>
        <row r="73">
          <cell r="C73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831047</v>
          </cell>
          <cell r="D7">
            <v>831047</v>
          </cell>
        </row>
        <row r="8">
          <cell r="A8" t="str">
            <v>B2.2</v>
          </cell>
          <cell r="B8" t="str">
            <v>ambulatoryjna opieka specjalistyczna</v>
          </cell>
          <cell r="C8">
            <v>390702</v>
          </cell>
          <cell r="D8">
            <v>390702</v>
          </cell>
        </row>
        <row r="9">
          <cell r="A9" t="str">
            <v>B2.3</v>
          </cell>
          <cell r="B9" t="str">
            <v>leczenie szpitalne, w tym:</v>
          </cell>
          <cell r="C9">
            <v>3321210</v>
          </cell>
          <cell r="D9">
            <v>3321210</v>
          </cell>
        </row>
        <row r="10">
          <cell r="A10" t="str">
            <v>B2.3.1</v>
          </cell>
          <cell r="B10" t="str">
            <v>programy lekowe, w tym:</v>
          </cell>
          <cell r="C10">
            <v>357743</v>
          </cell>
          <cell r="D10">
            <v>357743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325500</v>
          </cell>
          <cell r="D11">
            <v>325500</v>
          </cell>
        </row>
        <row r="12">
          <cell r="A12" t="str">
            <v>B2.3.2</v>
          </cell>
          <cell r="B12" t="str">
            <v>chemioterapia, w tym:</v>
          </cell>
          <cell r="C12">
            <v>122921</v>
          </cell>
          <cell r="D12">
            <v>122921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58186</v>
          </cell>
          <cell r="D13">
            <v>58186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241539</v>
          </cell>
          <cell r="D14">
            <v>241539</v>
          </cell>
        </row>
        <row r="15">
          <cell r="A15" t="str">
            <v>B2.5</v>
          </cell>
          <cell r="B15" t="str">
            <v>rehabilitacja lecznicza</v>
          </cell>
          <cell r="C15">
            <v>197489</v>
          </cell>
          <cell r="D15">
            <v>197489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141217</v>
          </cell>
          <cell r="D16">
            <v>141217</v>
          </cell>
        </row>
        <row r="17">
          <cell r="A17" t="str">
            <v>B2.7</v>
          </cell>
          <cell r="B17" t="str">
            <v>opieka paliatywna i hospicyjna</v>
          </cell>
          <cell r="C17">
            <v>72224</v>
          </cell>
          <cell r="D17">
            <v>72224</v>
          </cell>
        </row>
        <row r="18">
          <cell r="A18" t="str">
            <v>B2.8</v>
          </cell>
          <cell r="B18" t="str">
            <v>leczenie stomatologiczne</v>
          </cell>
          <cell r="C18">
            <v>124217</v>
          </cell>
          <cell r="D18">
            <v>124217</v>
          </cell>
        </row>
        <row r="19">
          <cell r="A19" t="str">
            <v>B2.9</v>
          </cell>
          <cell r="B19" t="str">
            <v>lecznictwo uzdrowiskowe</v>
          </cell>
          <cell r="C19">
            <v>71270</v>
          </cell>
          <cell r="D19">
            <v>71270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4684</v>
          </cell>
          <cell r="D20">
            <v>4684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15598</v>
          </cell>
          <cell r="D21">
            <v>15598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152649</v>
          </cell>
          <cell r="D22">
            <v>152649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89366</v>
          </cell>
          <cell r="D23">
            <v>89366</v>
          </cell>
        </row>
        <row r="24">
          <cell r="A24" t="str">
            <v>B2.14</v>
          </cell>
          <cell r="B24" t="str">
            <v>refundacja, z tego:</v>
          </cell>
          <cell r="C24">
            <v>638333</v>
          </cell>
          <cell r="D24">
            <v>638333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636333</v>
          </cell>
          <cell r="D25">
            <v>636333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38298</v>
          </cell>
          <cell r="D32">
            <v>38298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19006</v>
          </cell>
          <cell r="D35">
            <v>19006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428</v>
          </cell>
          <cell r="D36">
            <v>428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160014</v>
          </cell>
          <cell r="D37">
            <v>160014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56029</v>
          </cell>
          <cell r="D38">
            <v>56029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1022019</v>
          </cell>
          <cell r="D40">
            <v>1022019</v>
          </cell>
        </row>
        <row r="41">
          <cell r="A41" t="str">
            <v>D</v>
          </cell>
          <cell r="B41" t="str">
            <v>Koszty administracyjne ( D1+...+D8 )</v>
          </cell>
          <cell r="C41">
            <v>39487</v>
          </cell>
          <cell r="D41">
            <v>39487</v>
          </cell>
        </row>
        <row r="42">
          <cell r="A42" t="str">
            <v>D1</v>
          </cell>
          <cell r="B42" t="str">
            <v>zużycie materiałów i energii</v>
          </cell>
          <cell r="C42">
            <v>1587</v>
          </cell>
          <cell r="D42">
            <v>1587</v>
          </cell>
        </row>
        <row r="43">
          <cell r="A43" t="str">
            <v>D2</v>
          </cell>
          <cell r="B43" t="str">
            <v>usługi obce</v>
          </cell>
          <cell r="C43">
            <v>5252</v>
          </cell>
          <cell r="D43">
            <v>5252</v>
          </cell>
        </row>
        <row r="44">
          <cell r="A44" t="str">
            <v>D3</v>
          </cell>
          <cell r="B44" t="str">
            <v>podatki i opłaty, z tego</v>
          </cell>
          <cell r="C44">
            <v>367</v>
          </cell>
          <cell r="D44">
            <v>367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56</v>
          </cell>
          <cell r="D45">
            <v>56</v>
          </cell>
        </row>
        <row r="46">
          <cell r="A46" t="str">
            <v>D3.1.1</v>
          </cell>
          <cell r="B46" t="str">
            <v>podatek od nieruchomości</v>
          </cell>
          <cell r="C46">
            <v>56</v>
          </cell>
          <cell r="D46">
            <v>56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70</v>
          </cell>
          <cell r="D47">
            <v>70</v>
          </cell>
        </row>
        <row r="48">
          <cell r="A48" t="str">
            <v>D3.3</v>
          </cell>
          <cell r="B48" t="str">
            <v>VAT</v>
          </cell>
          <cell r="C48">
            <v>1</v>
          </cell>
          <cell r="D48">
            <v>1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238</v>
          </cell>
          <cell r="D50">
            <v>238</v>
          </cell>
        </row>
        <row r="51">
          <cell r="A51" t="str">
            <v>D3.6</v>
          </cell>
          <cell r="B51" t="str">
            <v>inne</v>
          </cell>
          <cell r="C51">
            <v>2</v>
          </cell>
          <cell r="D51">
            <v>2</v>
          </cell>
        </row>
        <row r="52">
          <cell r="A52" t="str">
            <v>D4</v>
          </cell>
          <cell r="B52" t="str">
            <v>wynagrodzenia, w tym:</v>
          </cell>
          <cell r="C52">
            <v>24389</v>
          </cell>
          <cell r="D52">
            <v>24389</v>
          </cell>
        </row>
        <row r="53">
          <cell r="A53" t="str">
            <v>D4.1</v>
          </cell>
          <cell r="B53" t="str">
            <v>wynagrodzenia bezosobowe</v>
          </cell>
          <cell r="C53">
            <v>100</v>
          </cell>
          <cell r="D53">
            <v>100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5451</v>
          </cell>
          <cell r="D54">
            <v>5451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4184</v>
          </cell>
          <cell r="D55">
            <v>4184</v>
          </cell>
        </row>
        <row r="56">
          <cell r="A56" t="str">
            <v>D5.2</v>
          </cell>
          <cell r="B56" t="str">
            <v>składki na Fundusz Pracy</v>
          </cell>
          <cell r="C56">
            <v>598</v>
          </cell>
          <cell r="D56">
            <v>598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669</v>
          </cell>
          <cell r="D58">
            <v>669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2235</v>
          </cell>
          <cell r="D60">
            <v>2235</v>
          </cell>
        </row>
        <row r="61">
          <cell r="A61" t="str">
            <v>D8</v>
          </cell>
          <cell r="B61" t="str">
            <v>pozostałe koszty administracyjne</v>
          </cell>
          <cell r="C61">
            <v>206</v>
          </cell>
          <cell r="D61">
            <v>206</v>
          </cell>
        </row>
        <row r="62">
          <cell r="A62" t="str">
            <v>F</v>
          </cell>
          <cell r="B62" t="str">
            <v>Pozostałe koszty (F1+...+F4)</v>
          </cell>
          <cell r="C62">
            <v>10474</v>
          </cell>
          <cell r="D62">
            <v>10474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8814</v>
          </cell>
          <cell r="D64">
            <v>8814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1660</v>
          </cell>
          <cell r="D66">
            <v>1660</v>
          </cell>
        </row>
        <row r="67">
          <cell r="A67" t="str">
            <v>H</v>
          </cell>
          <cell r="B67" t="str">
            <v>Koszty finansowe</v>
          </cell>
          <cell r="C67">
            <v>1117</v>
          </cell>
          <cell r="D67">
            <v>1117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599095</v>
          </cell>
          <cell r="D7">
            <v>599095</v>
          </cell>
        </row>
        <row r="8">
          <cell r="A8" t="str">
            <v>B2.2</v>
          </cell>
          <cell r="B8" t="str">
            <v>ambulatoryjna opieka specjalistyczna</v>
          </cell>
          <cell r="C8">
            <v>222048</v>
          </cell>
          <cell r="D8">
            <v>222048</v>
          </cell>
        </row>
        <row r="9">
          <cell r="A9" t="str">
            <v>B2.3</v>
          </cell>
          <cell r="B9" t="str">
            <v>leczenie szpitalne, w tym:</v>
          </cell>
          <cell r="C9">
            <v>2368077</v>
          </cell>
          <cell r="D9">
            <v>2368077</v>
          </cell>
        </row>
        <row r="10">
          <cell r="A10" t="str">
            <v>B2.3.1</v>
          </cell>
          <cell r="B10" t="str">
            <v>programy lekowe, w tym:</v>
          </cell>
          <cell r="C10">
            <v>195414</v>
          </cell>
          <cell r="D10">
            <v>195414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175649</v>
          </cell>
          <cell r="D11">
            <v>175649</v>
          </cell>
        </row>
        <row r="12">
          <cell r="A12" t="str">
            <v>B2.3.2</v>
          </cell>
          <cell r="B12" t="str">
            <v>chemioterapia, w tym:</v>
          </cell>
          <cell r="C12">
            <v>79084</v>
          </cell>
          <cell r="D12">
            <v>79084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37364</v>
          </cell>
          <cell r="D13">
            <v>37364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155050</v>
          </cell>
          <cell r="D14">
            <v>155050</v>
          </cell>
        </row>
        <row r="15">
          <cell r="A15" t="str">
            <v>B2.5</v>
          </cell>
          <cell r="B15" t="str">
            <v>rehabilitacja lecznicza</v>
          </cell>
          <cell r="C15">
            <v>127783</v>
          </cell>
          <cell r="D15">
            <v>127783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76558</v>
          </cell>
          <cell r="D16">
            <v>76558</v>
          </cell>
        </row>
        <row r="17">
          <cell r="A17" t="str">
            <v>B2.7</v>
          </cell>
          <cell r="B17" t="str">
            <v>opieka paliatywna i hospicyjna</v>
          </cell>
          <cell r="C17">
            <v>48575</v>
          </cell>
          <cell r="D17">
            <v>48575</v>
          </cell>
        </row>
        <row r="18">
          <cell r="A18" t="str">
            <v>B2.8</v>
          </cell>
          <cell r="B18" t="str">
            <v>leczenie stomatologiczne</v>
          </cell>
          <cell r="C18">
            <v>101296</v>
          </cell>
          <cell r="D18">
            <v>101296</v>
          </cell>
        </row>
        <row r="19">
          <cell r="A19" t="str">
            <v>B2.9</v>
          </cell>
          <cell r="B19" t="str">
            <v>lecznictwo uzdrowiskowe</v>
          </cell>
          <cell r="C19">
            <v>40732</v>
          </cell>
          <cell r="D19">
            <v>40732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3050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12589</v>
          </cell>
          <cell r="D21">
            <v>12589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112901</v>
          </cell>
          <cell r="D22">
            <v>112901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59500</v>
          </cell>
          <cell r="D23">
            <v>59500</v>
          </cell>
        </row>
        <row r="24">
          <cell r="A24" t="str">
            <v>B2.14</v>
          </cell>
          <cell r="B24" t="str">
            <v>refundacja, z tego:</v>
          </cell>
          <cell r="C24">
            <v>522532</v>
          </cell>
          <cell r="D24">
            <v>522532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521489</v>
          </cell>
          <cell r="D25">
            <v>521489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545</v>
          </cell>
          <cell r="D26">
            <v>545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498</v>
          </cell>
          <cell r="D27">
            <v>498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73925</v>
          </cell>
          <cell r="D32">
            <v>73925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400</v>
          </cell>
          <cell r="D34">
            <v>400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18650</v>
          </cell>
          <cell r="D35">
            <v>18650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127245</v>
          </cell>
          <cell r="D37">
            <v>127245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41451</v>
          </cell>
          <cell r="D38">
            <v>41451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735545</v>
          </cell>
          <cell r="D40">
            <v>735545</v>
          </cell>
        </row>
        <row r="41">
          <cell r="A41" t="str">
            <v>D</v>
          </cell>
          <cell r="B41" t="str">
            <v>Koszty administracyjne ( D1+...+D8 )</v>
          </cell>
          <cell r="C41">
            <v>36239</v>
          </cell>
          <cell r="D41">
            <v>36239</v>
          </cell>
        </row>
        <row r="42">
          <cell r="A42" t="str">
            <v>D1</v>
          </cell>
          <cell r="B42" t="str">
            <v>zużycie materiałów i energii</v>
          </cell>
          <cell r="C42">
            <v>1390</v>
          </cell>
          <cell r="D42">
            <v>1390</v>
          </cell>
        </row>
        <row r="43">
          <cell r="A43" t="str">
            <v>D2</v>
          </cell>
          <cell r="B43" t="str">
            <v>usługi obce</v>
          </cell>
          <cell r="C43">
            <v>6028</v>
          </cell>
          <cell r="D43">
            <v>6028</v>
          </cell>
        </row>
        <row r="44">
          <cell r="A44" t="str">
            <v>D3</v>
          </cell>
          <cell r="B44" t="str">
            <v>podatki i opłaty, z tego</v>
          </cell>
          <cell r="C44">
            <v>281</v>
          </cell>
          <cell r="D44">
            <v>281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61</v>
          </cell>
          <cell r="D45">
            <v>61</v>
          </cell>
        </row>
        <row r="46">
          <cell r="A46" t="str">
            <v>D3.1.1</v>
          </cell>
          <cell r="B46" t="str">
            <v>podatek od nieruchomości</v>
          </cell>
          <cell r="C46">
            <v>61</v>
          </cell>
          <cell r="D46">
            <v>61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</v>
          </cell>
          <cell r="D47">
            <v>25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180</v>
          </cell>
          <cell r="D50">
            <v>180</v>
          </cell>
        </row>
        <row r="51">
          <cell r="A51" t="str">
            <v>D3.6</v>
          </cell>
          <cell r="B51" t="str">
            <v>inne</v>
          </cell>
          <cell r="C51">
            <v>15</v>
          </cell>
          <cell r="D51">
            <v>15</v>
          </cell>
        </row>
        <row r="52">
          <cell r="A52" t="str">
            <v>D4</v>
          </cell>
          <cell r="B52" t="str">
            <v>wynagrodzenia, w tym:</v>
          </cell>
          <cell r="C52">
            <v>17168</v>
          </cell>
          <cell r="D52">
            <v>17168</v>
          </cell>
        </row>
        <row r="53">
          <cell r="A53" t="str">
            <v>D4.1</v>
          </cell>
          <cell r="B53" t="str">
            <v>wynagrodzenia bezosobowe</v>
          </cell>
          <cell r="C53">
            <v>0</v>
          </cell>
          <cell r="D53">
            <v>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3839</v>
          </cell>
          <cell r="D54">
            <v>3839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2947</v>
          </cell>
          <cell r="D55">
            <v>2947</v>
          </cell>
        </row>
        <row r="56">
          <cell r="A56" t="str">
            <v>D5.2</v>
          </cell>
          <cell r="B56" t="str">
            <v>składki na Fundusz Pracy</v>
          </cell>
          <cell r="C56">
            <v>421</v>
          </cell>
          <cell r="D56">
            <v>421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471</v>
          </cell>
          <cell r="D58">
            <v>471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7165</v>
          </cell>
          <cell r="D60">
            <v>7165</v>
          </cell>
        </row>
        <row r="61">
          <cell r="A61" t="str">
            <v>D8</v>
          </cell>
          <cell r="B61" t="str">
            <v>pozostałe koszty administracyjne</v>
          </cell>
          <cell r="C61">
            <v>368</v>
          </cell>
          <cell r="D61">
            <v>368</v>
          </cell>
        </row>
        <row r="62">
          <cell r="A62" t="str">
            <v>F</v>
          </cell>
          <cell r="B62" t="str">
            <v>Pozostałe koszty (F1+...+F4)</v>
          </cell>
          <cell r="C62">
            <v>26398</v>
          </cell>
          <cell r="D62">
            <v>26398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20088</v>
          </cell>
          <cell r="D64">
            <v>20088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6310</v>
          </cell>
          <cell r="D66">
            <v>6310</v>
          </cell>
        </row>
        <row r="67">
          <cell r="A67" t="str">
            <v>H</v>
          </cell>
          <cell r="B67" t="str">
            <v>Koszty finansowe</v>
          </cell>
          <cell r="C67">
            <v>5000</v>
          </cell>
          <cell r="D67">
            <v>5000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622716</v>
          </cell>
          <cell r="D7">
            <v>622716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229903</v>
          </cell>
          <cell r="D8">
            <v>229903</v>
          </cell>
        </row>
        <row r="9">
          <cell r="A9" t="str">
            <v>B2.3</v>
          </cell>
          <cell r="B9" t="str">
            <v>leczenie szpitalne, w tym:</v>
          </cell>
          <cell r="C9">
            <v>2474727</v>
          </cell>
          <cell r="D9">
            <v>2474727</v>
          </cell>
        </row>
        <row r="10">
          <cell r="A10" t="str">
            <v>B2.3.1</v>
          </cell>
          <cell r="B10" t="str">
            <v>programy lekowe, w tym:</v>
          </cell>
          <cell r="C10">
            <v>223034</v>
          </cell>
          <cell r="D10">
            <v>223034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203226</v>
          </cell>
          <cell r="D11">
            <v>203226</v>
          </cell>
        </row>
        <row r="12">
          <cell r="A12" t="str">
            <v>B2.3.2</v>
          </cell>
          <cell r="B12" t="str">
            <v>chemioterapia, w tym:</v>
          </cell>
          <cell r="C12">
            <v>98450</v>
          </cell>
          <cell r="D12">
            <v>98450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47469</v>
          </cell>
          <cell r="D13">
            <v>47469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180486</v>
          </cell>
          <cell r="D14">
            <v>180486</v>
          </cell>
        </row>
        <row r="15">
          <cell r="A15" t="str">
            <v>B2.5</v>
          </cell>
          <cell r="B15" t="str">
            <v>rehabilitacja lecznicza</v>
          </cell>
          <cell r="C15">
            <v>142602</v>
          </cell>
          <cell r="D15">
            <v>142602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92937</v>
          </cell>
          <cell r="D16">
            <v>92937</v>
          </cell>
        </row>
        <row r="17">
          <cell r="A17" t="str">
            <v>B2.7</v>
          </cell>
          <cell r="B17" t="str">
            <v>opieka paliatywna i hospicyjna</v>
          </cell>
          <cell r="C17">
            <v>32976</v>
          </cell>
          <cell r="D17">
            <v>32976</v>
          </cell>
        </row>
        <row r="18">
          <cell r="A18" t="str">
            <v>B2.8</v>
          </cell>
          <cell r="B18" t="str">
            <v>leczenie stomatologiczne</v>
          </cell>
          <cell r="C18">
            <v>130580</v>
          </cell>
          <cell r="D18">
            <v>130580</v>
          </cell>
        </row>
        <row r="19">
          <cell r="A19" t="str">
            <v>B2.9</v>
          </cell>
          <cell r="B19" t="str">
            <v>lecznictwo uzdrowiskowe</v>
          </cell>
          <cell r="C19">
            <v>44320</v>
          </cell>
          <cell r="D19">
            <v>44320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3623</v>
          </cell>
          <cell r="D20">
            <v>3623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12087</v>
          </cell>
          <cell r="D21">
            <v>12087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137922</v>
          </cell>
          <cell r="D22">
            <v>137922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59126</v>
          </cell>
          <cell r="D23">
            <v>59126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470888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300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81075</v>
          </cell>
          <cell r="D32">
            <v>81075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14186</v>
          </cell>
          <cell r="D35">
            <v>14186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131588</v>
          </cell>
          <cell r="D37">
            <v>131588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38366</v>
          </cell>
          <cell r="D38">
            <v>38366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724083</v>
          </cell>
          <cell r="D40">
            <v>724083</v>
          </cell>
        </row>
        <row r="41">
          <cell r="A41" t="str">
            <v>D</v>
          </cell>
          <cell r="B41" t="str">
            <v>Koszty administracyjne ( D1+...+D8 )</v>
          </cell>
          <cell r="C41">
            <v>27983</v>
          </cell>
          <cell r="D41">
            <v>27983</v>
          </cell>
        </row>
        <row r="42">
          <cell r="A42" t="str">
            <v>D1</v>
          </cell>
          <cell r="B42" t="str">
            <v>zużycie materiałów i energii</v>
          </cell>
          <cell r="C42">
            <v>914</v>
          </cell>
          <cell r="D42">
            <v>914</v>
          </cell>
        </row>
        <row r="43">
          <cell r="A43" t="str">
            <v>D2</v>
          </cell>
          <cell r="B43" t="str">
            <v>usługi obce</v>
          </cell>
          <cell r="C43">
            <v>2933</v>
          </cell>
          <cell r="D43">
            <v>2933</v>
          </cell>
        </row>
        <row r="44">
          <cell r="A44" t="str">
            <v>D3</v>
          </cell>
          <cell r="B44" t="str">
            <v>podatki i opłaty, z tego</v>
          </cell>
          <cell r="C44">
            <v>277</v>
          </cell>
          <cell r="D44">
            <v>277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33</v>
          </cell>
          <cell r="D45">
            <v>33</v>
          </cell>
        </row>
        <row r="46">
          <cell r="A46" t="str">
            <v>D3.1.1</v>
          </cell>
          <cell r="B46" t="str">
            <v>podatek od nieruchomości</v>
          </cell>
          <cell r="C46">
            <v>33</v>
          </cell>
          <cell r="D46">
            <v>33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0</v>
          </cell>
          <cell r="D47">
            <v>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230</v>
          </cell>
          <cell r="D50">
            <v>230</v>
          </cell>
        </row>
        <row r="51">
          <cell r="A51" t="str">
            <v>D3.6</v>
          </cell>
          <cell r="B51" t="str">
            <v>inne</v>
          </cell>
          <cell r="C51">
            <v>14</v>
          </cell>
          <cell r="D51">
            <v>14</v>
          </cell>
        </row>
        <row r="52">
          <cell r="A52" t="str">
            <v>D4</v>
          </cell>
          <cell r="B52" t="str">
            <v>wynagrodzenia, w tym:</v>
          </cell>
          <cell r="C52">
            <v>17903</v>
          </cell>
          <cell r="D52">
            <v>17903</v>
          </cell>
        </row>
        <row r="53">
          <cell r="A53" t="str">
            <v>D4.1</v>
          </cell>
          <cell r="B53" t="str">
            <v>wynagrodzenia bezosobowe</v>
          </cell>
          <cell r="C53">
            <v>144</v>
          </cell>
          <cell r="D53">
            <v>144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4001</v>
          </cell>
          <cell r="D54">
            <v>4001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3073</v>
          </cell>
          <cell r="D55">
            <v>3073</v>
          </cell>
        </row>
        <row r="56">
          <cell r="A56" t="str">
            <v>D5.2</v>
          </cell>
          <cell r="B56" t="str">
            <v>składki na Fundusz Pracy</v>
          </cell>
          <cell r="C56">
            <v>439</v>
          </cell>
          <cell r="D56">
            <v>439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489</v>
          </cell>
          <cell r="D58">
            <v>489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1562</v>
          </cell>
          <cell r="D60">
            <v>1562</v>
          </cell>
        </row>
        <row r="61">
          <cell r="A61" t="str">
            <v>D8</v>
          </cell>
          <cell r="B61" t="str">
            <v>pozostałe koszty administracyjne</v>
          </cell>
          <cell r="C61">
            <v>393</v>
          </cell>
          <cell r="D61">
            <v>393</v>
          </cell>
        </row>
        <row r="62">
          <cell r="A62" t="str">
            <v>F</v>
          </cell>
          <cell r="B62" t="str">
            <v>Pozostałe koszty (F1+...+F4)</v>
          </cell>
          <cell r="C62">
            <v>6045</v>
          </cell>
          <cell r="D62">
            <v>6045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5045</v>
          </cell>
          <cell r="D64">
            <v>5045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1000</v>
          </cell>
          <cell r="D66">
            <v>1000</v>
          </cell>
        </row>
        <row r="67">
          <cell r="A67" t="str">
            <v>H</v>
          </cell>
          <cell r="B67" t="str">
            <v>Koszty finansowe</v>
          </cell>
          <cell r="C67">
            <v>1000</v>
          </cell>
          <cell r="D67">
            <v>1000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302298</v>
          </cell>
          <cell r="D7">
            <v>302298</v>
          </cell>
        </row>
        <row r="8">
          <cell r="A8" t="str">
            <v>B2.2</v>
          </cell>
          <cell r="B8" t="str">
            <v>ambulatoryjna opieka specjalistyczna</v>
          </cell>
          <cell r="C8">
            <v>118252</v>
          </cell>
          <cell r="D8">
            <v>118252</v>
          </cell>
        </row>
        <row r="9">
          <cell r="A9" t="str">
            <v>B2.3</v>
          </cell>
          <cell r="B9" t="str">
            <v>leczenie szpitalne, w tym:</v>
          </cell>
          <cell r="C9">
            <v>1089704</v>
          </cell>
          <cell r="D9">
            <v>1089704</v>
          </cell>
        </row>
        <row r="10">
          <cell r="A10" t="str">
            <v>B2.3.1</v>
          </cell>
          <cell r="B10" t="str">
            <v>programy lekowe, w tym:</v>
          </cell>
          <cell r="C10">
            <v>87911</v>
          </cell>
          <cell r="D10">
            <v>87911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79836</v>
          </cell>
          <cell r="D11">
            <v>79836</v>
          </cell>
        </row>
        <row r="12">
          <cell r="A12" t="str">
            <v>B2.3.2</v>
          </cell>
          <cell r="B12" t="str">
            <v>chemioterapia, w tym:</v>
          </cell>
          <cell r="C12">
            <v>37392</v>
          </cell>
          <cell r="D12">
            <v>37392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14624</v>
          </cell>
          <cell r="D13">
            <v>14624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83881</v>
          </cell>
          <cell r="D14">
            <v>83881</v>
          </cell>
        </row>
        <row r="15">
          <cell r="A15" t="str">
            <v>B2.5</v>
          </cell>
          <cell r="B15" t="str">
            <v>rehabilitacja lecznicza</v>
          </cell>
          <cell r="C15">
            <v>60596</v>
          </cell>
          <cell r="D15">
            <v>60596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34528</v>
          </cell>
          <cell r="D16">
            <v>34528</v>
          </cell>
        </row>
        <row r="17">
          <cell r="A17" t="str">
            <v>B2.7</v>
          </cell>
          <cell r="B17" t="str">
            <v>opieka paliatywna i hospicyjna</v>
          </cell>
          <cell r="C17">
            <v>17876</v>
          </cell>
          <cell r="D17">
            <v>17876</v>
          </cell>
        </row>
        <row r="18">
          <cell r="A18" t="str">
            <v>B2.8</v>
          </cell>
          <cell r="B18" t="str">
            <v>leczenie stomatologiczne</v>
          </cell>
          <cell r="C18">
            <v>39796</v>
          </cell>
          <cell r="D18">
            <v>39796</v>
          </cell>
        </row>
        <row r="19">
          <cell r="A19" t="str">
            <v>B2.9</v>
          </cell>
          <cell r="B19" t="str">
            <v>lecznictwo uzdrowiskowe</v>
          </cell>
          <cell r="C19">
            <v>14500</v>
          </cell>
          <cell r="D19">
            <v>14500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1930</v>
          </cell>
          <cell r="D20">
            <v>1930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6190</v>
          </cell>
          <cell r="D21">
            <v>6190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61925</v>
          </cell>
          <cell r="D22">
            <v>61925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35000</v>
          </cell>
          <cell r="D23">
            <v>35000</v>
          </cell>
        </row>
        <row r="24">
          <cell r="A24" t="str">
            <v>B2.14</v>
          </cell>
          <cell r="B24" t="str">
            <v>refundacja, z tego:</v>
          </cell>
          <cell r="C24">
            <v>223750</v>
          </cell>
          <cell r="D24">
            <v>223750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223200</v>
          </cell>
          <cell r="D25">
            <v>223200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13310</v>
          </cell>
          <cell r="D32">
            <v>13310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21266</v>
          </cell>
          <cell r="D35">
            <v>21266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75939</v>
          </cell>
          <cell r="D37">
            <v>75939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16696</v>
          </cell>
          <cell r="D38">
            <v>16696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318210</v>
          </cell>
          <cell r="D40">
            <v>318210</v>
          </cell>
        </row>
        <row r="41">
          <cell r="A41" t="str">
            <v>D</v>
          </cell>
          <cell r="B41" t="str">
            <v>Koszty administracyjne ( D1+...+D8 )</v>
          </cell>
          <cell r="C41">
            <v>17812</v>
          </cell>
          <cell r="D41">
            <v>17812</v>
          </cell>
        </row>
        <row r="42">
          <cell r="A42" t="str">
            <v>D1</v>
          </cell>
          <cell r="B42" t="str">
            <v>zużycie materiałów i energii</v>
          </cell>
          <cell r="C42">
            <v>848</v>
          </cell>
          <cell r="D42">
            <v>848</v>
          </cell>
        </row>
        <row r="43">
          <cell r="A43" t="str">
            <v>D2</v>
          </cell>
          <cell r="B43" t="str">
            <v>usługi obce</v>
          </cell>
          <cell r="C43">
            <v>2363</v>
          </cell>
          <cell r="D43">
            <v>2363</v>
          </cell>
        </row>
        <row r="44">
          <cell r="A44" t="str">
            <v>D3</v>
          </cell>
          <cell r="B44" t="str">
            <v>podatki i opłaty, z tego</v>
          </cell>
          <cell r="C44">
            <v>82</v>
          </cell>
          <cell r="D44">
            <v>82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15</v>
          </cell>
          <cell r="D45">
            <v>15</v>
          </cell>
        </row>
        <row r="46">
          <cell r="A46" t="str">
            <v>D3.1.1</v>
          </cell>
          <cell r="B46" t="str">
            <v>podatek od nieruchomości</v>
          </cell>
          <cell r="C46">
            <v>15</v>
          </cell>
          <cell r="D46">
            <v>15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0</v>
          </cell>
          <cell r="D47">
            <v>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42</v>
          </cell>
          <cell r="D50">
            <v>42</v>
          </cell>
        </row>
        <row r="51">
          <cell r="A51" t="str">
            <v>D3.6</v>
          </cell>
          <cell r="B51" t="str">
            <v>inne</v>
          </cell>
          <cell r="C51">
            <v>25</v>
          </cell>
          <cell r="D51">
            <v>25</v>
          </cell>
        </row>
        <row r="52">
          <cell r="A52" t="str">
            <v>D4</v>
          </cell>
          <cell r="B52" t="str">
            <v>wynagrodzenia, w tym:</v>
          </cell>
          <cell r="C52">
            <v>10474</v>
          </cell>
          <cell r="D52">
            <v>10474</v>
          </cell>
        </row>
        <row r="53">
          <cell r="A53" t="str">
            <v>D4.1</v>
          </cell>
          <cell r="B53" t="str">
            <v>wynagrodzenia bezosobowe</v>
          </cell>
          <cell r="C53">
            <v>43</v>
          </cell>
          <cell r="D53">
            <v>43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2370</v>
          </cell>
          <cell r="D54">
            <v>2370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1796</v>
          </cell>
          <cell r="D55">
            <v>1796</v>
          </cell>
        </row>
        <row r="56">
          <cell r="A56" t="str">
            <v>D5.2</v>
          </cell>
          <cell r="B56" t="str">
            <v>składki na Fundusz Pracy</v>
          </cell>
          <cell r="C56">
            <v>257</v>
          </cell>
          <cell r="D56">
            <v>257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317</v>
          </cell>
          <cell r="D58">
            <v>317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1493</v>
          </cell>
          <cell r="D60">
            <v>1493</v>
          </cell>
        </row>
        <row r="61">
          <cell r="A61" t="str">
            <v>D8</v>
          </cell>
          <cell r="B61" t="str">
            <v>pozostałe koszty administracyjne</v>
          </cell>
          <cell r="C61">
            <v>182</v>
          </cell>
          <cell r="D61">
            <v>182</v>
          </cell>
        </row>
        <row r="62">
          <cell r="A62" t="str">
            <v>F</v>
          </cell>
          <cell r="B62" t="str">
            <v>Pozostałe koszty (F1+...+F4)</v>
          </cell>
          <cell r="C62">
            <v>3290</v>
          </cell>
          <cell r="D62">
            <v>3290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1915</v>
          </cell>
          <cell r="D64">
            <v>1915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1375</v>
          </cell>
          <cell r="D66">
            <v>1375</v>
          </cell>
        </row>
        <row r="67">
          <cell r="A67" t="str">
            <v>H</v>
          </cell>
          <cell r="B67" t="str">
            <v>Koszty finansowe</v>
          </cell>
          <cell r="C67">
            <v>750</v>
          </cell>
          <cell r="D67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758490</v>
          </cell>
          <cell r="D7">
            <v>758490</v>
          </cell>
        </row>
        <row r="8">
          <cell r="A8" t="str">
            <v>B2.2</v>
          </cell>
          <cell r="B8" t="str">
            <v>ambulatoryjna opieka specjalistyczna</v>
          </cell>
          <cell r="C8">
            <v>294727</v>
          </cell>
          <cell r="D8">
            <v>294727</v>
          </cell>
        </row>
        <row r="9">
          <cell r="A9" t="str">
            <v>B2.3</v>
          </cell>
          <cell r="B9" t="str">
            <v>leczenie szpitalne, w tym:</v>
          </cell>
          <cell r="C9">
            <v>3109673</v>
          </cell>
          <cell r="D9">
            <v>3099923</v>
          </cell>
        </row>
        <row r="10">
          <cell r="A10" t="str">
            <v>B2.3.1</v>
          </cell>
          <cell r="B10" t="str">
            <v>programy lekowe, w tym:</v>
          </cell>
          <cell r="C10">
            <v>308027</v>
          </cell>
          <cell r="D10">
            <v>308027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272738</v>
          </cell>
          <cell r="D11">
            <v>272738</v>
          </cell>
        </row>
        <row r="12">
          <cell r="A12" t="str">
            <v>B2.3.2</v>
          </cell>
          <cell r="B12" t="str">
            <v>chemioterapia, w tym:</v>
          </cell>
          <cell r="C12">
            <v>101405</v>
          </cell>
          <cell r="D12">
            <v>101405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41195</v>
          </cell>
          <cell r="D13">
            <v>41195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155496</v>
          </cell>
          <cell r="D14">
            <v>157196</v>
          </cell>
        </row>
        <row r="15">
          <cell r="A15" t="str">
            <v>B2.5</v>
          </cell>
          <cell r="B15" t="str">
            <v>rehabilitacja lecznicza</v>
          </cell>
          <cell r="C15">
            <v>146212</v>
          </cell>
          <cell r="D15">
            <v>146212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82494</v>
          </cell>
          <cell r="D16">
            <v>86394</v>
          </cell>
        </row>
        <row r="17">
          <cell r="A17" t="str">
            <v>B2.7</v>
          </cell>
          <cell r="B17" t="str">
            <v>opieka paliatywna i hospicyjna</v>
          </cell>
          <cell r="C17">
            <v>38874</v>
          </cell>
          <cell r="D17">
            <v>40174</v>
          </cell>
        </row>
        <row r="18">
          <cell r="A18" t="str">
            <v>B2.8</v>
          </cell>
          <cell r="B18" t="str">
            <v>leczenie stomatologiczne</v>
          </cell>
          <cell r="C18">
            <v>121907</v>
          </cell>
          <cell r="D18">
            <v>124157</v>
          </cell>
        </row>
        <row r="19">
          <cell r="A19" t="str">
            <v>B2.9</v>
          </cell>
          <cell r="B19" t="str">
            <v>lecznictwo uzdrowiskowe</v>
          </cell>
          <cell r="C19">
            <v>45000</v>
          </cell>
          <cell r="D19">
            <v>45000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12900</v>
          </cell>
          <cell r="D21">
            <v>12900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147401</v>
          </cell>
          <cell r="D22">
            <v>149401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74280</v>
          </cell>
          <cell r="D23">
            <v>74280</v>
          </cell>
        </row>
        <row r="24">
          <cell r="A24" t="str">
            <v>B2.14</v>
          </cell>
          <cell r="B24" t="str">
            <v>refundacja, z tego:</v>
          </cell>
          <cell r="C24">
            <v>655470</v>
          </cell>
          <cell r="D24">
            <v>655470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653491</v>
          </cell>
          <cell r="D25">
            <v>653491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1090</v>
          </cell>
          <cell r="D27">
            <v>1090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11157</v>
          </cell>
          <cell r="D32">
            <v>9757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61765</v>
          </cell>
          <cell r="D35">
            <v>61765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589</v>
          </cell>
          <cell r="D36">
            <v>589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143026</v>
          </cell>
          <cell r="D37">
            <v>143026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54157</v>
          </cell>
          <cell r="D38">
            <v>54157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969403</v>
          </cell>
          <cell r="D40">
            <v>969403</v>
          </cell>
        </row>
        <row r="41">
          <cell r="A41" t="str">
            <v>D</v>
          </cell>
          <cell r="B41" t="str">
            <v>Koszty administracyjne ( D1+...+D8 )</v>
          </cell>
          <cell r="C41">
            <v>35828</v>
          </cell>
          <cell r="D41">
            <v>35828</v>
          </cell>
        </row>
        <row r="42">
          <cell r="A42" t="str">
            <v>D1</v>
          </cell>
          <cell r="B42" t="str">
            <v>zużycie materiałów i energii</v>
          </cell>
          <cell r="C42">
            <v>1308</v>
          </cell>
          <cell r="D42">
            <v>1308</v>
          </cell>
        </row>
        <row r="43">
          <cell r="A43" t="str">
            <v>D2</v>
          </cell>
          <cell r="B43" t="str">
            <v>usługi obce</v>
          </cell>
          <cell r="C43">
            <v>5911</v>
          </cell>
          <cell r="D43">
            <v>5911</v>
          </cell>
        </row>
        <row r="44">
          <cell r="A44" t="str">
            <v>D3</v>
          </cell>
          <cell r="B44" t="str">
            <v>podatki i opłaty, z tego</v>
          </cell>
          <cell r="C44">
            <v>279</v>
          </cell>
          <cell r="D44">
            <v>279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11</v>
          </cell>
          <cell r="D45">
            <v>11</v>
          </cell>
        </row>
        <row r="46">
          <cell r="A46" t="str">
            <v>D3.1.1</v>
          </cell>
          <cell r="B46" t="str">
            <v>podatek od nieruchomości</v>
          </cell>
          <cell r="C46">
            <v>11</v>
          </cell>
          <cell r="D46">
            <v>11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10</v>
          </cell>
          <cell r="D47">
            <v>10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254</v>
          </cell>
          <cell r="D50">
            <v>254</v>
          </cell>
        </row>
        <row r="51">
          <cell r="A51" t="str">
            <v>D3.6</v>
          </cell>
          <cell r="B51" t="str">
            <v>inne</v>
          </cell>
          <cell r="C51">
            <v>4</v>
          </cell>
          <cell r="D51">
            <v>4</v>
          </cell>
        </row>
        <row r="52">
          <cell r="A52" t="str">
            <v>D4</v>
          </cell>
          <cell r="B52" t="str">
            <v>wynagrodzenia, w tym:</v>
          </cell>
          <cell r="C52">
            <v>20775</v>
          </cell>
          <cell r="D52">
            <v>20775</v>
          </cell>
        </row>
        <row r="53">
          <cell r="A53" t="str">
            <v>D4.1</v>
          </cell>
          <cell r="B53" t="str">
            <v>wynagrodzenia bezosobowe</v>
          </cell>
          <cell r="C53">
            <v>90</v>
          </cell>
          <cell r="D53">
            <v>90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4645</v>
          </cell>
          <cell r="D54">
            <v>4645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3567</v>
          </cell>
          <cell r="D55">
            <v>3567</v>
          </cell>
        </row>
        <row r="56">
          <cell r="A56" t="str">
            <v>D5.2</v>
          </cell>
          <cell r="B56" t="str">
            <v>składki na Fundusz Pracy</v>
          </cell>
          <cell r="C56">
            <v>509</v>
          </cell>
          <cell r="D56">
            <v>509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569</v>
          </cell>
          <cell r="D58">
            <v>569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2620</v>
          </cell>
          <cell r="D60">
            <v>2620</v>
          </cell>
        </row>
        <row r="61">
          <cell r="A61" t="str">
            <v>D8</v>
          </cell>
          <cell r="B61" t="str">
            <v>pozostałe koszty administracyjne</v>
          </cell>
          <cell r="C61">
            <v>290</v>
          </cell>
          <cell r="D61">
            <v>290</v>
          </cell>
        </row>
        <row r="62">
          <cell r="A62" t="str">
            <v>F</v>
          </cell>
          <cell r="B62" t="str">
            <v>Pozostałe koszty (F1+...+F4)</v>
          </cell>
          <cell r="C62">
            <v>32125</v>
          </cell>
          <cell r="D62">
            <v>32125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30125</v>
          </cell>
          <cell r="D64">
            <v>30125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2000</v>
          </cell>
          <cell r="D66">
            <v>2000</v>
          </cell>
        </row>
        <row r="67">
          <cell r="A67" t="str">
            <v>H</v>
          </cell>
          <cell r="B67" t="str">
            <v>Koszty finansowe</v>
          </cell>
          <cell r="C67">
            <v>5000</v>
          </cell>
          <cell r="D67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1013060</v>
          </cell>
          <cell r="D7">
            <v>1013060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413483</v>
          </cell>
          <cell r="D8">
            <v>413483</v>
          </cell>
        </row>
        <row r="9">
          <cell r="A9" t="str">
            <v>B2.3</v>
          </cell>
          <cell r="B9" t="str">
            <v>leczenie szpitalne, w tym:</v>
          </cell>
          <cell r="C9">
            <v>3741982</v>
          </cell>
          <cell r="D9">
            <v>3741982</v>
          </cell>
        </row>
        <row r="10">
          <cell r="A10" t="str">
            <v>B2.3.1</v>
          </cell>
          <cell r="B10" t="str">
            <v>programy lekowe, w tym:</v>
          </cell>
          <cell r="C10">
            <v>367783</v>
          </cell>
          <cell r="D10">
            <v>367783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331912</v>
          </cell>
          <cell r="D11">
            <v>331912</v>
          </cell>
        </row>
        <row r="12">
          <cell r="A12" t="str">
            <v>B2.3.2</v>
          </cell>
          <cell r="B12" t="str">
            <v>chemioterapia, w tym:</v>
          </cell>
          <cell r="C12">
            <v>102131</v>
          </cell>
          <cell r="D12">
            <v>102131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51076</v>
          </cell>
          <cell r="D13">
            <v>51076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230990</v>
          </cell>
          <cell r="D14">
            <v>230990</v>
          </cell>
        </row>
        <row r="15">
          <cell r="A15" t="str">
            <v>B2.5</v>
          </cell>
          <cell r="B15" t="str">
            <v>rehabilitacja lecznicza</v>
          </cell>
          <cell r="C15">
            <v>253216</v>
          </cell>
          <cell r="D15">
            <v>253216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196100</v>
          </cell>
          <cell r="D16">
            <v>196100</v>
          </cell>
        </row>
        <row r="17">
          <cell r="A17" t="str">
            <v>B2.7</v>
          </cell>
          <cell r="B17" t="str">
            <v>opieka paliatywna i hospicyjna</v>
          </cell>
          <cell r="C17">
            <v>74729</v>
          </cell>
          <cell r="D17">
            <v>74729</v>
          </cell>
        </row>
        <row r="18">
          <cell r="A18" t="str">
            <v>B2.8</v>
          </cell>
          <cell r="B18" t="str">
            <v>leczenie stomatologiczne</v>
          </cell>
          <cell r="C18">
            <v>207123</v>
          </cell>
          <cell r="D18">
            <v>207123</v>
          </cell>
        </row>
        <row r="19">
          <cell r="A19" t="str">
            <v>B2.9</v>
          </cell>
          <cell r="B19" t="str">
            <v>lecznictwo uzdrowiskowe</v>
          </cell>
          <cell r="C19">
            <v>56932</v>
          </cell>
          <cell r="D19">
            <v>56932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1892</v>
          </cell>
          <cell r="D20">
            <v>1892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15147</v>
          </cell>
          <cell r="D21">
            <v>15147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229967</v>
          </cell>
          <cell r="D22">
            <v>229967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92000</v>
          </cell>
          <cell r="D23">
            <v>92000</v>
          </cell>
        </row>
        <row r="24">
          <cell r="A24" t="str">
            <v>B2.14</v>
          </cell>
          <cell r="B24" t="str">
            <v>refundacja, z tego:</v>
          </cell>
          <cell r="C24">
            <v>746050</v>
          </cell>
          <cell r="D24">
            <v>746050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742050</v>
          </cell>
          <cell r="D25">
            <v>742050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98022</v>
          </cell>
          <cell r="D32">
            <v>98022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40754</v>
          </cell>
          <cell r="D35">
            <v>40754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304</v>
          </cell>
          <cell r="D36">
            <v>304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170115</v>
          </cell>
          <cell r="D37">
            <v>170115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66684</v>
          </cell>
          <cell r="D38">
            <v>66684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1129038</v>
          </cell>
          <cell r="D40">
            <v>1129038</v>
          </cell>
        </row>
        <row r="41">
          <cell r="A41" t="str">
            <v>D</v>
          </cell>
          <cell r="B41" t="str">
            <v>Koszty administracyjne ( D1+...+D8 )</v>
          </cell>
          <cell r="C41">
            <v>43950</v>
          </cell>
          <cell r="D41">
            <v>43950</v>
          </cell>
        </row>
        <row r="42">
          <cell r="A42" t="str">
            <v>D1</v>
          </cell>
          <cell r="B42" t="str">
            <v>zużycie materiałów i energii</v>
          </cell>
          <cell r="C42">
            <v>1910</v>
          </cell>
          <cell r="D42">
            <v>1910</v>
          </cell>
        </row>
        <row r="43">
          <cell r="A43" t="str">
            <v>D2</v>
          </cell>
          <cell r="B43" t="str">
            <v>usługi obce</v>
          </cell>
          <cell r="C43">
            <v>6098</v>
          </cell>
          <cell r="D43">
            <v>6098</v>
          </cell>
        </row>
        <row r="44">
          <cell r="A44" t="str">
            <v>D3</v>
          </cell>
          <cell r="B44" t="str">
            <v>podatki i opłaty, z tego</v>
          </cell>
          <cell r="C44">
            <v>247</v>
          </cell>
          <cell r="D44">
            <v>247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26</v>
          </cell>
          <cell r="D45">
            <v>26</v>
          </cell>
        </row>
        <row r="46">
          <cell r="A46" t="str">
            <v>D3.1.1</v>
          </cell>
          <cell r="B46" t="str">
            <v>podatek od nieruchomości</v>
          </cell>
          <cell r="C46">
            <v>26</v>
          </cell>
          <cell r="D46">
            <v>26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56</v>
          </cell>
          <cell r="D47">
            <v>56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100</v>
          </cell>
          <cell r="D50">
            <v>100</v>
          </cell>
        </row>
        <row r="51">
          <cell r="A51" t="str">
            <v>D3.6</v>
          </cell>
          <cell r="B51" t="str">
            <v>inne</v>
          </cell>
          <cell r="C51">
            <v>65</v>
          </cell>
          <cell r="D51">
            <v>65</v>
          </cell>
        </row>
        <row r="52">
          <cell r="A52" t="str">
            <v>D4</v>
          </cell>
          <cell r="B52" t="str">
            <v>wynagrodzenia, w tym:</v>
          </cell>
          <cell r="C52">
            <v>26145</v>
          </cell>
          <cell r="D52">
            <v>26145</v>
          </cell>
        </row>
        <row r="53">
          <cell r="A53" t="str">
            <v>D4.1</v>
          </cell>
          <cell r="B53" t="str">
            <v>wynagrodzenia bezosobowe</v>
          </cell>
          <cell r="C53">
            <v>24</v>
          </cell>
          <cell r="D53">
            <v>24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5850</v>
          </cell>
          <cell r="D54">
            <v>5850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4488</v>
          </cell>
          <cell r="D55">
            <v>4488</v>
          </cell>
        </row>
        <row r="56">
          <cell r="A56" t="str">
            <v>D5.2</v>
          </cell>
          <cell r="B56" t="str">
            <v>składki na Fundusz Pracy</v>
          </cell>
          <cell r="C56">
            <v>641</v>
          </cell>
          <cell r="D56">
            <v>641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721</v>
          </cell>
          <cell r="D58">
            <v>721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3400</v>
          </cell>
          <cell r="D60">
            <v>3400</v>
          </cell>
        </row>
        <row r="61">
          <cell r="A61" t="str">
            <v>D8</v>
          </cell>
          <cell r="B61" t="str">
            <v>pozostałe koszty administracyjne</v>
          </cell>
          <cell r="C61">
            <v>300</v>
          </cell>
          <cell r="D61">
            <v>300</v>
          </cell>
        </row>
        <row r="62">
          <cell r="A62" t="str">
            <v>F</v>
          </cell>
          <cell r="B62" t="str">
            <v>Pozostałe koszty (F1+...+F4)</v>
          </cell>
          <cell r="C62">
            <v>14415</v>
          </cell>
          <cell r="D62">
            <v>14415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11150</v>
          </cell>
          <cell r="D64">
            <v>11150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3265</v>
          </cell>
          <cell r="D66">
            <v>3265</v>
          </cell>
        </row>
        <row r="67">
          <cell r="A67" t="str">
            <v>H</v>
          </cell>
          <cell r="B67" t="str">
            <v>Koszty finansowe</v>
          </cell>
          <cell r="C67">
            <v>300</v>
          </cell>
          <cell r="D67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1661712</v>
          </cell>
          <cell r="D7">
            <v>1661712</v>
          </cell>
        </row>
        <row r="8">
          <cell r="A8" t="str">
            <v>B2.2</v>
          </cell>
          <cell r="B8" t="str">
            <v>ambulatoryjna opieka specjalistyczna</v>
          </cell>
          <cell r="C8">
            <v>643392</v>
          </cell>
          <cell r="D8">
            <v>643392</v>
          </cell>
        </row>
        <row r="9">
          <cell r="A9" t="str">
            <v>B2.3</v>
          </cell>
          <cell r="B9" t="str">
            <v>leczenie szpitalne, w tym:</v>
          </cell>
          <cell r="C9">
            <v>6777313</v>
          </cell>
          <cell r="D9">
            <v>6777313</v>
          </cell>
        </row>
        <row r="10">
          <cell r="A10" t="str">
            <v>B2.3.1</v>
          </cell>
          <cell r="B10" t="str">
            <v>programy lekowe, w tym:</v>
          </cell>
          <cell r="C10">
            <v>641767</v>
          </cell>
          <cell r="D10">
            <v>641767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585807</v>
          </cell>
          <cell r="D11">
            <v>585807</v>
          </cell>
        </row>
        <row r="12">
          <cell r="A12" t="str">
            <v>B2.3.2</v>
          </cell>
          <cell r="B12" t="str">
            <v>chemioterapia, w tym:</v>
          </cell>
          <cell r="C12">
            <v>250498</v>
          </cell>
          <cell r="D12">
            <v>250498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119940</v>
          </cell>
          <cell r="D13">
            <v>119940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410046</v>
          </cell>
          <cell r="D14">
            <v>410046</v>
          </cell>
        </row>
        <row r="15">
          <cell r="A15" t="str">
            <v>B2.5</v>
          </cell>
          <cell r="B15" t="str">
            <v>rehabilitacja lecznicza</v>
          </cell>
          <cell r="C15">
            <v>486100</v>
          </cell>
          <cell r="D15">
            <v>486100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223225</v>
          </cell>
          <cell r="D16">
            <v>223225</v>
          </cell>
        </row>
        <row r="17">
          <cell r="A17" t="str">
            <v>B2.7</v>
          </cell>
          <cell r="B17" t="str">
            <v>opieka paliatywna i hospicyjna</v>
          </cell>
          <cell r="C17">
            <v>92498</v>
          </cell>
          <cell r="D17">
            <v>92498</v>
          </cell>
        </row>
        <row r="18">
          <cell r="A18" t="str">
            <v>B2.8</v>
          </cell>
          <cell r="B18" t="str">
            <v>leczenie stomatologiczne</v>
          </cell>
          <cell r="C18">
            <v>237040</v>
          </cell>
          <cell r="D18">
            <v>237040</v>
          </cell>
        </row>
        <row r="19">
          <cell r="A19" t="str">
            <v>B2.9</v>
          </cell>
          <cell r="B19" t="str">
            <v>lecznictwo uzdrowiskowe</v>
          </cell>
          <cell r="C19">
            <v>110000</v>
          </cell>
          <cell r="D19">
            <v>110000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8675</v>
          </cell>
          <cell r="D20">
            <v>8675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26438</v>
          </cell>
          <cell r="D21">
            <v>26438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224693</v>
          </cell>
          <cell r="D22">
            <v>224693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185000</v>
          </cell>
          <cell r="D23">
            <v>185000</v>
          </cell>
        </row>
        <row r="24">
          <cell r="A24" t="str">
            <v>B2.14</v>
          </cell>
          <cell r="B24" t="str">
            <v>refundacja, z tego:</v>
          </cell>
          <cell r="C24">
            <v>1147984</v>
          </cell>
          <cell r="D24">
            <v>1147984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1140378</v>
          </cell>
          <cell r="D25">
            <v>1140378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28290</v>
          </cell>
          <cell r="D32">
            <v>28290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95890</v>
          </cell>
          <cell r="D35">
            <v>95890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724</v>
          </cell>
          <cell r="D36">
            <v>724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269607</v>
          </cell>
          <cell r="D37">
            <v>269607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102864</v>
          </cell>
          <cell r="D38">
            <v>102864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1853731</v>
          </cell>
          <cell r="D40">
            <v>1853731</v>
          </cell>
        </row>
        <row r="41">
          <cell r="A41" t="str">
            <v>D</v>
          </cell>
          <cell r="B41" t="str">
            <v>Koszty administracyjne ( D1+...+D8 )</v>
          </cell>
          <cell r="C41">
            <v>75901</v>
          </cell>
          <cell r="D41">
            <v>75901</v>
          </cell>
        </row>
        <row r="42">
          <cell r="A42" t="str">
            <v>D1</v>
          </cell>
          <cell r="B42" t="str">
            <v>zużycie materiałów i energii</v>
          </cell>
          <cell r="C42">
            <v>2311</v>
          </cell>
          <cell r="D42">
            <v>2311</v>
          </cell>
        </row>
        <row r="43">
          <cell r="A43" t="str">
            <v>D2</v>
          </cell>
          <cell r="B43" t="str">
            <v>usługi obce</v>
          </cell>
          <cell r="C43">
            <v>12722</v>
          </cell>
          <cell r="D43">
            <v>12722</v>
          </cell>
        </row>
        <row r="44">
          <cell r="A44" t="str">
            <v>D3</v>
          </cell>
          <cell r="B44" t="str">
            <v>podatki i opłaty, z tego</v>
          </cell>
          <cell r="C44">
            <v>251</v>
          </cell>
          <cell r="D44">
            <v>251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20</v>
          </cell>
          <cell r="D45">
            <v>20</v>
          </cell>
        </row>
        <row r="46">
          <cell r="A46" t="str">
            <v>D3.1.1</v>
          </cell>
          <cell r="B46" t="str">
            <v>podatek od nieruchomości</v>
          </cell>
          <cell r="C46">
            <v>20</v>
          </cell>
          <cell r="D46">
            <v>20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12</v>
          </cell>
          <cell r="D47">
            <v>12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208</v>
          </cell>
          <cell r="D50">
            <v>208</v>
          </cell>
        </row>
        <row r="51">
          <cell r="A51" t="str">
            <v>D3.6</v>
          </cell>
          <cell r="B51" t="str">
            <v>inne</v>
          </cell>
          <cell r="C51">
            <v>11</v>
          </cell>
          <cell r="D51">
            <v>11</v>
          </cell>
        </row>
        <row r="52">
          <cell r="A52" t="str">
            <v>D4</v>
          </cell>
          <cell r="B52" t="str">
            <v>wynagrodzenia, w tym:</v>
          </cell>
          <cell r="C52">
            <v>47353</v>
          </cell>
          <cell r="D52">
            <v>47353</v>
          </cell>
        </row>
        <row r="53">
          <cell r="A53" t="str">
            <v>D4.1</v>
          </cell>
          <cell r="B53" t="str">
            <v>wynagrodzenia bezosobowe</v>
          </cell>
          <cell r="C53">
            <v>71</v>
          </cell>
          <cell r="D53">
            <v>71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10567</v>
          </cell>
          <cell r="D54">
            <v>10567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8130</v>
          </cell>
          <cell r="D55">
            <v>8130</v>
          </cell>
        </row>
        <row r="56">
          <cell r="A56" t="str">
            <v>D5.2</v>
          </cell>
          <cell r="B56" t="str">
            <v>składki na Fundusz Pracy</v>
          </cell>
          <cell r="C56">
            <v>1160</v>
          </cell>
          <cell r="D56">
            <v>1160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1277</v>
          </cell>
          <cell r="D58">
            <v>1277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2482</v>
          </cell>
          <cell r="D60">
            <v>2482</v>
          </cell>
        </row>
        <row r="61">
          <cell r="A61" t="str">
            <v>D8</v>
          </cell>
          <cell r="B61" t="str">
            <v>pozostałe koszty administracyjne</v>
          </cell>
          <cell r="C61">
            <v>215</v>
          </cell>
          <cell r="D61">
            <v>215</v>
          </cell>
        </row>
        <row r="62">
          <cell r="A62" t="str">
            <v>F</v>
          </cell>
          <cell r="B62" t="str">
            <v>Pozostałe koszty (F1+...+F4)</v>
          </cell>
          <cell r="C62">
            <v>16940</v>
          </cell>
          <cell r="D62">
            <v>16940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9671</v>
          </cell>
          <cell r="D64">
            <v>9671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7269</v>
          </cell>
          <cell r="D66">
            <v>7269</v>
          </cell>
        </row>
        <row r="67">
          <cell r="A67" t="str">
            <v>H</v>
          </cell>
          <cell r="B67" t="str">
            <v>Koszty finansowe</v>
          </cell>
          <cell r="C67">
            <v>5617</v>
          </cell>
          <cell r="D67">
            <v>5617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269807</v>
          </cell>
          <cell r="D7">
            <v>269807</v>
          </cell>
        </row>
        <row r="8">
          <cell r="A8" t="str">
            <v>B2.2</v>
          </cell>
          <cell r="B8" t="str">
            <v>ambulatoryjna opieka specjalistyczna</v>
          </cell>
          <cell r="C8">
            <v>94873</v>
          </cell>
          <cell r="D8">
            <v>97173</v>
          </cell>
        </row>
        <row r="9">
          <cell r="A9" t="str">
            <v>B2.3</v>
          </cell>
          <cell r="B9" t="str">
            <v>leczenie szpitalne, w tym:</v>
          </cell>
          <cell r="C9">
            <v>1050213</v>
          </cell>
          <cell r="D9">
            <v>1050213</v>
          </cell>
        </row>
        <row r="10">
          <cell r="A10" t="str">
            <v>B2.3.1</v>
          </cell>
          <cell r="B10" t="str">
            <v>programy lekowe, w tym:</v>
          </cell>
          <cell r="C10">
            <v>83150</v>
          </cell>
          <cell r="D10">
            <v>83150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75278</v>
          </cell>
          <cell r="D11">
            <v>75278</v>
          </cell>
        </row>
        <row r="12">
          <cell r="A12" t="str">
            <v>B2.3.2</v>
          </cell>
          <cell r="B12" t="str">
            <v>chemioterapia, w tym:</v>
          </cell>
          <cell r="C12">
            <v>31042</v>
          </cell>
          <cell r="D12">
            <v>31042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14763</v>
          </cell>
          <cell r="D13">
            <v>14763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73124</v>
          </cell>
          <cell r="D14">
            <v>73124</v>
          </cell>
        </row>
        <row r="15">
          <cell r="A15" t="str">
            <v>B2.5</v>
          </cell>
          <cell r="B15" t="str">
            <v>rehabilitacja lecznicza</v>
          </cell>
          <cell r="C15">
            <v>59980</v>
          </cell>
          <cell r="D15">
            <v>59980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69035</v>
          </cell>
          <cell r="D16">
            <v>68235</v>
          </cell>
        </row>
        <row r="17">
          <cell r="A17" t="str">
            <v>B2.7</v>
          </cell>
          <cell r="B17" t="str">
            <v>opieka paliatywna i hospicyjna</v>
          </cell>
          <cell r="C17">
            <v>23902</v>
          </cell>
          <cell r="D17">
            <v>23902</v>
          </cell>
        </row>
        <row r="18">
          <cell r="A18" t="str">
            <v>B2.8</v>
          </cell>
          <cell r="B18" t="str">
            <v>leczenie stomatologiczne</v>
          </cell>
          <cell r="C18">
            <v>43246</v>
          </cell>
          <cell r="D18">
            <v>41746</v>
          </cell>
        </row>
        <row r="19">
          <cell r="A19" t="str">
            <v>B2.9</v>
          </cell>
          <cell r="B19" t="str">
            <v>lecznictwo uzdrowiskowe</v>
          </cell>
          <cell r="C19">
            <v>13500</v>
          </cell>
          <cell r="D19">
            <v>13500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1360</v>
          </cell>
          <cell r="D20">
            <v>1360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4557</v>
          </cell>
          <cell r="D21">
            <v>4557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48553</v>
          </cell>
          <cell r="D22">
            <v>48553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30000</v>
          </cell>
          <cell r="D23">
            <v>30000</v>
          </cell>
        </row>
        <row r="24">
          <cell r="A24" t="str">
            <v>B2.14</v>
          </cell>
          <cell r="B24" t="str">
            <v>refundacja, z tego:</v>
          </cell>
          <cell r="C24">
            <v>210000</v>
          </cell>
          <cell r="D24">
            <v>210000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209150</v>
          </cell>
          <cell r="D25">
            <v>209150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250</v>
          </cell>
          <cell r="D27">
            <v>250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19682</v>
          </cell>
          <cell r="D32">
            <v>19682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400</v>
          </cell>
          <cell r="D34">
            <v>400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1700</v>
          </cell>
          <cell r="D35">
            <v>1700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247</v>
          </cell>
          <cell r="D36">
            <v>247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61002</v>
          </cell>
          <cell r="D37">
            <v>61002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20015</v>
          </cell>
          <cell r="D38">
            <v>20015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300041</v>
          </cell>
          <cell r="D40">
            <v>300041</v>
          </cell>
        </row>
        <row r="41">
          <cell r="A41" t="str">
            <v>D</v>
          </cell>
          <cell r="B41" t="str">
            <v>Koszty administracyjne ( D1+...+D8 )</v>
          </cell>
          <cell r="C41">
            <v>18339</v>
          </cell>
          <cell r="D41">
            <v>18339</v>
          </cell>
        </row>
        <row r="42">
          <cell r="A42" t="str">
            <v>D1</v>
          </cell>
          <cell r="B42" t="str">
            <v>zużycie materiałów i energii</v>
          </cell>
          <cell r="C42">
            <v>864</v>
          </cell>
          <cell r="D42">
            <v>864</v>
          </cell>
        </row>
        <row r="43">
          <cell r="A43" t="str">
            <v>D2</v>
          </cell>
          <cell r="B43" t="str">
            <v>usługi obce</v>
          </cell>
          <cell r="C43">
            <v>2592</v>
          </cell>
          <cell r="D43">
            <v>2592</v>
          </cell>
        </row>
        <row r="44">
          <cell r="A44" t="str">
            <v>D3</v>
          </cell>
          <cell r="B44" t="str">
            <v>podatki i opłaty, z tego</v>
          </cell>
          <cell r="C44">
            <v>173</v>
          </cell>
          <cell r="D44">
            <v>173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0</v>
          </cell>
          <cell r="D45">
            <v>0</v>
          </cell>
        </row>
        <row r="46">
          <cell r="A46" t="str">
            <v>D3.1.1</v>
          </cell>
          <cell r="B46" t="str">
            <v>podatek od nieruchomości</v>
          </cell>
          <cell r="C46">
            <v>0</v>
          </cell>
          <cell r="D46">
            <v>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8</v>
          </cell>
          <cell r="D47">
            <v>8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159</v>
          </cell>
          <cell r="D50">
            <v>159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10662</v>
          </cell>
          <cell r="D52">
            <v>10662</v>
          </cell>
        </row>
        <row r="53">
          <cell r="A53" t="str">
            <v>D4.1</v>
          </cell>
          <cell r="B53" t="str">
            <v>wynagrodzenia bezosobowe</v>
          </cell>
          <cell r="C53">
            <v>31</v>
          </cell>
          <cell r="D53">
            <v>31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2382</v>
          </cell>
          <cell r="D54">
            <v>2382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1828</v>
          </cell>
          <cell r="D55">
            <v>1828</v>
          </cell>
        </row>
        <row r="56">
          <cell r="A56" t="str">
            <v>D5.2</v>
          </cell>
          <cell r="B56" t="str">
            <v>składki na Fundusz Pracy</v>
          </cell>
          <cell r="C56">
            <v>262</v>
          </cell>
          <cell r="D56">
            <v>262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292</v>
          </cell>
          <cell r="D58">
            <v>292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1473</v>
          </cell>
          <cell r="D60">
            <v>1473</v>
          </cell>
        </row>
        <row r="61">
          <cell r="A61" t="str">
            <v>D8</v>
          </cell>
          <cell r="B61" t="str">
            <v>pozostałe koszty administracyjne</v>
          </cell>
          <cell r="C61">
            <v>193</v>
          </cell>
          <cell r="D61">
            <v>193</v>
          </cell>
        </row>
        <row r="62">
          <cell r="A62" t="str">
            <v>F</v>
          </cell>
          <cell r="B62" t="str">
            <v>Pozostałe koszty (F1+...+F4)</v>
          </cell>
          <cell r="C62">
            <v>4725</v>
          </cell>
          <cell r="D62">
            <v>4725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4217</v>
          </cell>
          <cell r="D64">
            <v>4217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508</v>
          </cell>
          <cell r="D66">
            <v>508</v>
          </cell>
        </row>
        <row r="67">
          <cell r="A67" t="str">
            <v>H</v>
          </cell>
          <cell r="B67" t="str">
            <v>Koszty finansowe</v>
          </cell>
          <cell r="C67">
            <v>1238</v>
          </cell>
          <cell r="D67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595336</v>
          </cell>
          <cell r="D7">
            <v>595336</v>
          </cell>
        </row>
        <row r="8">
          <cell r="A8" t="str">
            <v>B2.2</v>
          </cell>
          <cell r="B8" t="str">
            <v>ambulatoryjna opieka specjalistyczna</v>
          </cell>
          <cell r="C8">
            <v>244582</v>
          </cell>
          <cell r="D8">
            <v>244582</v>
          </cell>
        </row>
        <row r="9">
          <cell r="A9" t="str">
            <v>B2.3</v>
          </cell>
          <cell r="B9" t="str">
            <v>leczenie szpitalne, w tym:</v>
          </cell>
          <cell r="C9">
            <v>2312451</v>
          </cell>
          <cell r="D9">
            <v>2312451</v>
          </cell>
        </row>
        <row r="10">
          <cell r="A10" t="str">
            <v>B2.3.1</v>
          </cell>
          <cell r="B10" t="str">
            <v>programy lekowe, w tym:</v>
          </cell>
          <cell r="C10">
            <v>223272</v>
          </cell>
          <cell r="D10">
            <v>223272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204641</v>
          </cell>
          <cell r="D11">
            <v>204641</v>
          </cell>
        </row>
        <row r="12">
          <cell r="A12" t="str">
            <v>B2.3.2</v>
          </cell>
          <cell r="B12" t="str">
            <v>chemioterapia, w tym:</v>
          </cell>
          <cell r="C12">
            <v>87684</v>
          </cell>
          <cell r="D12">
            <v>87684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44884</v>
          </cell>
          <cell r="D13">
            <v>44884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125479</v>
          </cell>
          <cell r="D14">
            <v>125479</v>
          </cell>
        </row>
        <row r="15">
          <cell r="A15" t="str">
            <v>B2.5</v>
          </cell>
          <cell r="B15" t="str">
            <v>rehabilitacja lecznicza</v>
          </cell>
          <cell r="C15">
            <v>179476</v>
          </cell>
          <cell r="D15">
            <v>179476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142000</v>
          </cell>
          <cell r="D16">
            <v>142000</v>
          </cell>
        </row>
        <row r="17">
          <cell r="A17" t="str">
            <v>B2.7</v>
          </cell>
          <cell r="B17" t="str">
            <v>opieka paliatywna i hospicyjna</v>
          </cell>
          <cell r="C17">
            <v>55203</v>
          </cell>
          <cell r="D17">
            <v>55203</v>
          </cell>
        </row>
        <row r="18">
          <cell r="A18" t="str">
            <v>B2.8</v>
          </cell>
          <cell r="B18" t="str">
            <v>leczenie stomatologiczne</v>
          </cell>
          <cell r="C18">
            <v>119713</v>
          </cell>
          <cell r="D18">
            <v>119713</v>
          </cell>
        </row>
        <row r="19">
          <cell r="A19" t="str">
            <v>B2.9</v>
          </cell>
          <cell r="B19" t="str">
            <v>lecznictwo uzdrowiskowe</v>
          </cell>
          <cell r="C19">
            <v>39570</v>
          </cell>
          <cell r="D19">
            <v>39570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8874</v>
          </cell>
          <cell r="D21">
            <v>8874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102063</v>
          </cell>
          <cell r="D22">
            <v>102063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57454</v>
          </cell>
          <cell r="D23">
            <v>57454</v>
          </cell>
        </row>
        <row r="24">
          <cell r="A24" t="str">
            <v>B2.14</v>
          </cell>
          <cell r="B24" t="str">
            <v>refundacja, z tego:</v>
          </cell>
          <cell r="C24">
            <v>423652</v>
          </cell>
          <cell r="D24">
            <v>423652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420652</v>
          </cell>
          <cell r="D25">
            <v>420652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2000</v>
          </cell>
          <cell r="D26">
            <v>2000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41868</v>
          </cell>
          <cell r="D32">
            <v>41868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34419</v>
          </cell>
          <cell r="D35">
            <v>34419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69</v>
          </cell>
          <cell r="D36">
            <v>69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124076</v>
          </cell>
          <cell r="D37">
            <v>124076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35420</v>
          </cell>
          <cell r="D38">
            <v>35420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673177</v>
          </cell>
          <cell r="D40">
            <v>673177</v>
          </cell>
        </row>
        <row r="41">
          <cell r="A41" t="str">
            <v>D</v>
          </cell>
          <cell r="B41" t="str">
            <v>Koszty administracyjne ( D1+...+D8 )</v>
          </cell>
          <cell r="C41">
            <v>28150</v>
          </cell>
          <cell r="D41">
            <v>28150</v>
          </cell>
        </row>
        <row r="42">
          <cell r="A42" t="str">
            <v>D1</v>
          </cell>
          <cell r="B42" t="str">
            <v>zużycie materiałów i energii</v>
          </cell>
          <cell r="C42">
            <v>1413</v>
          </cell>
          <cell r="D42">
            <v>1413</v>
          </cell>
        </row>
        <row r="43">
          <cell r="A43" t="str">
            <v>D2</v>
          </cell>
          <cell r="B43" t="str">
            <v>usługi obce</v>
          </cell>
          <cell r="C43">
            <v>2947</v>
          </cell>
          <cell r="D43">
            <v>2947</v>
          </cell>
        </row>
        <row r="44">
          <cell r="A44" t="str">
            <v>D3</v>
          </cell>
          <cell r="B44" t="str">
            <v>podatki i opłaty, z tego</v>
          </cell>
          <cell r="C44">
            <v>125</v>
          </cell>
          <cell r="D44">
            <v>125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29</v>
          </cell>
          <cell r="D45">
            <v>29</v>
          </cell>
        </row>
        <row r="46">
          <cell r="A46" t="str">
            <v>D3.1.1</v>
          </cell>
          <cell r="B46" t="str">
            <v>podatek od nieruchomości</v>
          </cell>
          <cell r="C46">
            <v>29</v>
          </cell>
          <cell r="D46">
            <v>29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13</v>
          </cell>
          <cell r="D47">
            <v>13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45</v>
          </cell>
          <cell r="D50">
            <v>45</v>
          </cell>
        </row>
        <row r="51">
          <cell r="A51" t="str">
            <v>D3.6</v>
          </cell>
          <cell r="B51" t="str">
            <v>inne</v>
          </cell>
          <cell r="C51">
            <v>38</v>
          </cell>
          <cell r="D51">
            <v>38</v>
          </cell>
        </row>
        <row r="52">
          <cell r="A52" t="str">
            <v>D4</v>
          </cell>
          <cell r="B52" t="str">
            <v>wynagrodzenia, w tym:</v>
          </cell>
          <cell r="C52">
            <v>16251</v>
          </cell>
          <cell r="D52">
            <v>16251</v>
          </cell>
        </row>
        <row r="53">
          <cell r="A53" t="str">
            <v>D4.1</v>
          </cell>
          <cell r="B53" t="str">
            <v>wynagrodzenia bezosobowe</v>
          </cell>
          <cell r="C53">
            <v>10</v>
          </cell>
          <cell r="D53">
            <v>10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3635</v>
          </cell>
          <cell r="D54">
            <v>3635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2789</v>
          </cell>
          <cell r="D55">
            <v>2789</v>
          </cell>
        </row>
        <row r="56">
          <cell r="A56" t="str">
            <v>D5.2</v>
          </cell>
          <cell r="B56" t="str">
            <v>składki na Fundusz Pracy</v>
          </cell>
          <cell r="C56">
            <v>398</v>
          </cell>
          <cell r="D56">
            <v>398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448</v>
          </cell>
          <cell r="D58">
            <v>448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3500</v>
          </cell>
          <cell r="D60">
            <v>3500</v>
          </cell>
        </row>
        <row r="61">
          <cell r="A61" t="str">
            <v>D8</v>
          </cell>
          <cell r="B61" t="str">
            <v>pozostałe koszty administracyjne</v>
          </cell>
          <cell r="C61">
            <v>279</v>
          </cell>
          <cell r="D61">
            <v>279</v>
          </cell>
        </row>
        <row r="62">
          <cell r="A62" t="str">
            <v>F</v>
          </cell>
          <cell r="B62" t="str">
            <v>Pozostałe koszty (F1+...+F4)</v>
          </cell>
          <cell r="C62">
            <v>3300</v>
          </cell>
          <cell r="D62">
            <v>3300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2300</v>
          </cell>
          <cell r="D64">
            <v>2300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1000</v>
          </cell>
          <cell r="D66">
            <v>1000</v>
          </cell>
        </row>
        <row r="67">
          <cell r="A67" t="str">
            <v>H</v>
          </cell>
          <cell r="B67" t="str">
            <v>Koszty finansowe</v>
          </cell>
          <cell r="C67">
            <v>400</v>
          </cell>
          <cell r="D67">
            <v>400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331200</v>
          </cell>
          <cell r="D7">
            <v>331200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141528</v>
          </cell>
          <cell r="D8">
            <v>141528</v>
          </cell>
        </row>
        <row r="9">
          <cell r="A9" t="str">
            <v>B2.3</v>
          </cell>
          <cell r="B9" t="str">
            <v>leczenie szpitalne, w tym:</v>
          </cell>
          <cell r="C9">
            <v>1369316</v>
          </cell>
          <cell r="D9">
            <v>1369316</v>
          </cell>
        </row>
        <row r="10">
          <cell r="A10" t="str">
            <v>B2.3.1</v>
          </cell>
          <cell r="B10" t="str">
            <v>programy lekowe, w tym:</v>
          </cell>
          <cell r="C10">
            <v>112600</v>
          </cell>
          <cell r="D10">
            <v>112600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104000</v>
          </cell>
          <cell r="D11">
            <v>104000</v>
          </cell>
        </row>
        <row r="12">
          <cell r="A12" t="str">
            <v>B2.3.2</v>
          </cell>
          <cell r="B12" t="str">
            <v>chemioterapia, w tym:</v>
          </cell>
          <cell r="C12">
            <v>46800</v>
          </cell>
          <cell r="D12">
            <v>46800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25000</v>
          </cell>
          <cell r="D13">
            <v>25000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82284</v>
          </cell>
          <cell r="D14">
            <v>82284</v>
          </cell>
        </row>
        <row r="15">
          <cell r="A15" t="str">
            <v>B2.5</v>
          </cell>
          <cell r="B15" t="str">
            <v>rehabilitacja lecznicza</v>
          </cell>
          <cell r="C15">
            <v>63948</v>
          </cell>
          <cell r="D15">
            <v>63948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42000</v>
          </cell>
          <cell r="D16">
            <v>42000</v>
          </cell>
        </row>
        <row r="17">
          <cell r="A17" t="str">
            <v>B2.7</v>
          </cell>
          <cell r="B17" t="str">
            <v>opieka paliatywna i hospicyjna</v>
          </cell>
          <cell r="C17">
            <v>23300</v>
          </cell>
          <cell r="D17">
            <v>23300</v>
          </cell>
        </row>
        <row r="18">
          <cell r="A18" t="str">
            <v>B2.8</v>
          </cell>
          <cell r="B18" t="str">
            <v>leczenie stomatologiczne</v>
          </cell>
          <cell r="C18">
            <v>63900</v>
          </cell>
          <cell r="D18">
            <v>63900</v>
          </cell>
        </row>
        <row r="19">
          <cell r="A19" t="str">
            <v>B2.9</v>
          </cell>
          <cell r="B19" t="str">
            <v>lecznictwo uzdrowiskowe</v>
          </cell>
          <cell r="C19">
            <v>21000</v>
          </cell>
          <cell r="D19">
            <v>21000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1722</v>
          </cell>
          <cell r="D20">
            <v>1722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5161</v>
          </cell>
          <cell r="D21">
            <v>5161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67292</v>
          </cell>
          <cell r="D22">
            <v>67292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34500</v>
          </cell>
          <cell r="D23">
            <v>34500</v>
          </cell>
        </row>
        <row r="24">
          <cell r="A24" t="str">
            <v>B2.14</v>
          </cell>
          <cell r="B24" t="str">
            <v>refundacja, z tego:</v>
          </cell>
          <cell r="C24">
            <v>239500</v>
          </cell>
          <cell r="D24">
            <v>239500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237400</v>
          </cell>
          <cell r="D25">
            <v>237400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600</v>
          </cell>
          <cell r="D27">
            <v>600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49149</v>
          </cell>
          <cell r="D32">
            <v>49149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29448</v>
          </cell>
          <cell r="D35">
            <v>29448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385</v>
          </cell>
          <cell r="D36">
            <v>385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81366</v>
          </cell>
          <cell r="D37">
            <v>81366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22296</v>
          </cell>
          <cell r="D38">
            <v>22296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368500</v>
          </cell>
          <cell r="D40">
            <v>368500</v>
          </cell>
        </row>
        <row r="41">
          <cell r="A41" t="str">
            <v>D</v>
          </cell>
          <cell r="B41" t="str">
            <v>Koszty administracyjne ( D1+...+D8 )</v>
          </cell>
          <cell r="C41">
            <v>19325</v>
          </cell>
          <cell r="D41">
            <v>19325</v>
          </cell>
        </row>
        <row r="42">
          <cell r="A42" t="str">
            <v>D1</v>
          </cell>
          <cell r="B42" t="str">
            <v>zużycie materiałów i energii</v>
          </cell>
          <cell r="C42">
            <v>605</v>
          </cell>
          <cell r="D42">
            <v>605</v>
          </cell>
        </row>
        <row r="43">
          <cell r="A43" t="str">
            <v>D2</v>
          </cell>
          <cell r="B43" t="str">
            <v>usługi obce</v>
          </cell>
          <cell r="C43">
            <v>1480</v>
          </cell>
          <cell r="D43">
            <v>1480</v>
          </cell>
        </row>
        <row r="44">
          <cell r="A44" t="str">
            <v>D3</v>
          </cell>
          <cell r="B44" t="str">
            <v>podatki i opłaty, z tego</v>
          </cell>
          <cell r="C44">
            <v>290</v>
          </cell>
          <cell r="D44">
            <v>290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19</v>
          </cell>
          <cell r="D45">
            <v>19</v>
          </cell>
        </row>
        <row r="46">
          <cell r="A46" t="str">
            <v>D3.1.1</v>
          </cell>
          <cell r="B46" t="str">
            <v>podatek od nieruchomości</v>
          </cell>
          <cell r="C46">
            <v>19</v>
          </cell>
          <cell r="D46">
            <v>19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90</v>
          </cell>
          <cell r="D47">
            <v>90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175</v>
          </cell>
          <cell r="D50">
            <v>175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11678</v>
          </cell>
          <cell r="D52">
            <v>11678</v>
          </cell>
        </row>
        <row r="53">
          <cell r="A53" t="str">
            <v>D4.1</v>
          </cell>
          <cell r="B53" t="str">
            <v>wynagrodzenia bezosobowe</v>
          </cell>
          <cell r="C53">
            <v>0</v>
          </cell>
          <cell r="D53">
            <v>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2615</v>
          </cell>
          <cell r="D54">
            <v>2615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2004</v>
          </cell>
          <cell r="D55">
            <v>2004</v>
          </cell>
        </row>
        <row r="56">
          <cell r="A56" t="str">
            <v>D5.2</v>
          </cell>
          <cell r="B56" t="str">
            <v>składki na Fundusz Pracy</v>
          </cell>
          <cell r="C56">
            <v>286</v>
          </cell>
          <cell r="D56">
            <v>286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325</v>
          </cell>
          <cell r="D58">
            <v>325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2504</v>
          </cell>
          <cell r="D60">
            <v>2504</v>
          </cell>
        </row>
        <row r="61">
          <cell r="A61" t="str">
            <v>D8</v>
          </cell>
          <cell r="B61" t="str">
            <v>pozostałe koszty administracyjne</v>
          </cell>
          <cell r="C61">
            <v>153</v>
          </cell>
          <cell r="D61">
            <v>153</v>
          </cell>
        </row>
        <row r="62">
          <cell r="A62" t="str">
            <v>F</v>
          </cell>
          <cell r="B62" t="str">
            <v>Pozostałe koszty (F1+...+F4)</v>
          </cell>
          <cell r="C62">
            <v>1872</v>
          </cell>
          <cell r="D62">
            <v>1872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880</v>
          </cell>
          <cell r="D64">
            <v>880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992</v>
          </cell>
          <cell r="D66">
            <v>992</v>
          </cell>
        </row>
        <row r="67">
          <cell r="A67" t="str">
            <v>H</v>
          </cell>
          <cell r="B67" t="str">
            <v>Koszty finansowe</v>
          </cell>
          <cell r="C67">
            <v>360</v>
          </cell>
          <cell r="D67">
            <v>360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666615</v>
          </cell>
          <cell r="D7">
            <v>666615</v>
          </cell>
        </row>
        <row r="8">
          <cell r="A8" t="str">
            <v>B2.2</v>
          </cell>
          <cell r="B8" t="str">
            <v>ambulatoryjna opieka specjalistyczna</v>
          </cell>
          <cell r="C8">
            <v>332030</v>
          </cell>
          <cell r="D8">
            <v>332030</v>
          </cell>
        </row>
        <row r="9">
          <cell r="A9" t="str">
            <v>B2.3</v>
          </cell>
          <cell r="B9" t="str">
            <v>leczenie szpitalne, w tym:</v>
          </cell>
          <cell r="C9">
            <v>2515021</v>
          </cell>
          <cell r="D9">
            <v>2515021</v>
          </cell>
        </row>
        <row r="10">
          <cell r="A10" t="str">
            <v>B2.3.1</v>
          </cell>
          <cell r="B10" t="str">
            <v>programy lekowe, w tym:</v>
          </cell>
          <cell r="C10">
            <v>286630</v>
          </cell>
          <cell r="D10">
            <v>286630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265018</v>
          </cell>
          <cell r="D11">
            <v>265018</v>
          </cell>
        </row>
        <row r="12">
          <cell r="A12" t="str">
            <v>B2.3.2</v>
          </cell>
          <cell r="B12" t="str">
            <v>chemioterapia, w tym:</v>
          </cell>
          <cell r="C12">
            <v>93371</v>
          </cell>
          <cell r="D12">
            <v>93371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54059</v>
          </cell>
          <cell r="D13">
            <v>54059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198114</v>
          </cell>
          <cell r="D14">
            <v>198114</v>
          </cell>
        </row>
        <row r="15">
          <cell r="A15" t="str">
            <v>B2.5</v>
          </cell>
          <cell r="B15" t="str">
            <v>rehabilitacja lecznicza</v>
          </cell>
          <cell r="C15">
            <v>137986</v>
          </cell>
          <cell r="D15">
            <v>137986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62183</v>
          </cell>
          <cell r="D16">
            <v>62183</v>
          </cell>
        </row>
        <row r="17">
          <cell r="A17" t="str">
            <v>B2.7</v>
          </cell>
          <cell r="B17" t="str">
            <v>opieka paliatywna i hospicyjna</v>
          </cell>
          <cell r="C17">
            <v>45413</v>
          </cell>
          <cell r="D17">
            <v>45413</v>
          </cell>
        </row>
        <row r="18">
          <cell r="A18" t="str">
            <v>B2.8</v>
          </cell>
          <cell r="B18" t="str">
            <v>leczenie stomatologiczne</v>
          </cell>
          <cell r="C18">
            <v>114626</v>
          </cell>
          <cell r="D18">
            <v>114626</v>
          </cell>
        </row>
        <row r="19">
          <cell r="A19" t="str">
            <v>B2.9</v>
          </cell>
          <cell r="B19" t="str">
            <v>lecznictwo uzdrowiskowe</v>
          </cell>
          <cell r="C19">
            <v>35753</v>
          </cell>
          <cell r="D19">
            <v>35753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1574</v>
          </cell>
          <cell r="D20">
            <v>1574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10447</v>
          </cell>
          <cell r="D21">
            <v>10447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129333</v>
          </cell>
          <cell r="D22">
            <v>129333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64000</v>
          </cell>
          <cell r="D23">
            <v>64000</v>
          </cell>
        </row>
        <row r="24">
          <cell r="A24" t="str">
            <v>B2.14</v>
          </cell>
          <cell r="B24" t="str">
            <v>refundacja, z tego:</v>
          </cell>
          <cell r="C24">
            <v>591500</v>
          </cell>
          <cell r="D24">
            <v>591500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589600</v>
          </cell>
          <cell r="D25">
            <v>589600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900</v>
          </cell>
          <cell r="D27">
            <v>900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14528</v>
          </cell>
          <cell r="D32">
            <v>14528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15179</v>
          </cell>
          <cell r="D35">
            <v>15179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58</v>
          </cell>
          <cell r="D36">
            <v>58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122820</v>
          </cell>
          <cell r="D37">
            <v>122820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44590</v>
          </cell>
          <cell r="D38">
            <v>44590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910577</v>
          </cell>
          <cell r="D40">
            <v>910577</v>
          </cell>
        </row>
        <row r="41">
          <cell r="A41" t="str">
            <v>D</v>
          </cell>
          <cell r="B41" t="str">
            <v>Koszty administracyjne ( D1+...+D8 )</v>
          </cell>
          <cell r="C41">
            <v>35398</v>
          </cell>
          <cell r="D41">
            <v>35398</v>
          </cell>
        </row>
        <row r="42">
          <cell r="A42" t="str">
            <v>D1</v>
          </cell>
          <cell r="B42" t="str">
            <v>zużycie materiałów i energii</v>
          </cell>
          <cell r="C42">
            <v>1574</v>
          </cell>
          <cell r="D42">
            <v>1574</v>
          </cell>
        </row>
        <row r="43">
          <cell r="A43" t="str">
            <v>D2</v>
          </cell>
          <cell r="B43" t="str">
            <v>usługi obce</v>
          </cell>
          <cell r="C43">
            <v>3542</v>
          </cell>
          <cell r="D43">
            <v>3542</v>
          </cell>
        </row>
        <row r="44">
          <cell r="A44" t="str">
            <v>D3</v>
          </cell>
          <cell r="B44" t="str">
            <v>podatki i opłaty, z tego</v>
          </cell>
          <cell r="C44">
            <v>158</v>
          </cell>
          <cell r="D44">
            <v>158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52</v>
          </cell>
          <cell r="D45">
            <v>52</v>
          </cell>
        </row>
        <row r="46">
          <cell r="A46" t="str">
            <v>D3.1.1</v>
          </cell>
          <cell r="B46" t="str">
            <v>podatek od nieruchomości</v>
          </cell>
          <cell r="C46">
            <v>52</v>
          </cell>
          <cell r="D46">
            <v>52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40</v>
          </cell>
          <cell r="D47">
            <v>40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46</v>
          </cell>
          <cell r="D50">
            <v>46</v>
          </cell>
        </row>
        <row r="51">
          <cell r="A51" t="str">
            <v>D3.6</v>
          </cell>
          <cell r="B51" t="str">
            <v>inne</v>
          </cell>
          <cell r="C51">
            <v>20</v>
          </cell>
          <cell r="D51">
            <v>20</v>
          </cell>
        </row>
        <row r="52">
          <cell r="A52" t="str">
            <v>D4</v>
          </cell>
          <cell r="B52" t="str">
            <v>wynagrodzenia, w tym:</v>
          </cell>
          <cell r="C52">
            <v>22181</v>
          </cell>
          <cell r="D52">
            <v>22181</v>
          </cell>
        </row>
        <row r="53">
          <cell r="A53" t="str">
            <v>D4.1</v>
          </cell>
          <cell r="B53" t="str">
            <v>wynagrodzenia bezosobowe</v>
          </cell>
          <cell r="C53">
            <v>100</v>
          </cell>
          <cell r="D53">
            <v>100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4966</v>
          </cell>
          <cell r="D54">
            <v>4966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3809</v>
          </cell>
          <cell r="D55">
            <v>3809</v>
          </cell>
        </row>
        <row r="56">
          <cell r="A56" t="str">
            <v>D5.2</v>
          </cell>
          <cell r="B56" t="str">
            <v>składki na Fundusz Pracy</v>
          </cell>
          <cell r="C56">
            <v>544</v>
          </cell>
          <cell r="D56">
            <v>544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613</v>
          </cell>
          <cell r="D58">
            <v>613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2700</v>
          </cell>
          <cell r="D60">
            <v>2700</v>
          </cell>
        </row>
        <row r="61">
          <cell r="A61" t="str">
            <v>D8</v>
          </cell>
          <cell r="B61" t="str">
            <v>pozostałe koszty administracyjne</v>
          </cell>
          <cell r="C61">
            <v>277</v>
          </cell>
          <cell r="D61">
            <v>277</v>
          </cell>
        </row>
        <row r="62">
          <cell r="A62" t="str">
            <v>F</v>
          </cell>
          <cell r="B62" t="str">
            <v>Pozostałe koszty (F1+...+F4)</v>
          </cell>
          <cell r="C62">
            <v>3760</v>
          </cell>
          <cell r="D62">
            <v>3760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57</v>
          </cell>
          <cell r="D63">
            <v>57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2503</v>
          </cell>
          <cell r="D64">
            <v>2503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1200</v>
          </cell>
          <cell r="D66">
            <v>1200</v>
          </cell>
        </row>
        <row r="67">
          <cell r="A67" t="str">
            <v>H</v>
          </cell>
          <cell r="B67" t="str">
            <v>Koszty finansowe</v>
          </cell>
          <cell r="C67">
            <v>1000</v>
          </cell>
          <cell r="D67">
            <v>1000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1324160</v>
          </cell>
          <cell r="D7">
            <v>1324160</v>
          </cell>
        </row>
        <row r="8">
          <cell r="A8" t="str">
            <v>B2.2</v>
          </cell>
          <cell r="B8" t="str">
            <v>ambulatoryjna opieka specjalistyczna</v>
          </cell>
          <cell r="C8">
            <v>711203</v>
          </cell>
          <cell r="D8">
            <v>711203</v>
          </cell>
        </row>
        <row r="9">
          <cell r="A9" t="str">
            <v>B2.3</v>
          </cell>
          <cell r="B9" t="str">
            <v>leczenie szpitalne, w tym:</v>
          </cell>
          <cell r="C9">
            <v>5099814</v>
          </cell>
          <cell r="D9">
            <v>5149814</v>
          </cell>
        </row>
        <row r="10">
          <cell r="A10" t="str">
            <v>B2.3.1</v>
          </cell>
          <cell r="B10" t="str">
            <v>programy lekowe, w tym:</v>
          </cell>
          <cell r="C10">
            <v>463402</v>
          </cell>
          <cell r="D10">
            <v>491402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410335</v>
          </cell>
          <cell r="D11">
            <v>438335</v>
          </cell>
        </row>
        <row r="12">
          <cell r="A12" t="str">
            <v>B2.3.2</v>
          </cell>
          <cell r="B12" t="str">
            <v>chemioterapia, w tym:</v>
          </cell>
          <cell r="C12">
            <v>180391</v>
          </cell>
          <cell r="D12">
            <v>180391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80062</v>
          </cell>
          <cell r="D13">
            <v>80062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361858</v>
          </cell>
          <cell r="D14">
            <v>368858</v>
          </cell>
        </row>
        <row r="15">
          <cell r="A15" t="str">
            <v>B2.5</v>
          </cell>
          <cell r="B15" t="str">
            <v>rehabilitacja lecznicza</v>
          </cell>
          <cell r="C15">
            <v>334294</v>
          </cell>
          <cell r="D15">
            <v>334294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287100</v>
          </cell>
          <cell r="D16">
            <v>287100</v>
          </cell>
        </row>
        <row r="17">
          <cell r="A17" t="str">
            <v>B2.7</v>
          </cell>
          <cell r="B17" t="str">
            <v>opieka paliatywna i hospicyjna</v>
          </cell>
          <cell r="C17">
            <v>87225</v>
          </cell>
          <cell r="D17">
            <v>87225</v>
          </cell>
        </row>
        <row r="18">
          <cell r="A18" t="str">
            <v>B2.8</v>
          </cell>
          <cell r="B18" t="str">
            <v>leczenie stomatologiczne</v>
          </cell>
          <cell r="C18">
            <v>201952</v>
          </cell>
          <cell r="D18">
            <v>201952</v>
          </cell>
        </row>
        <row r="19">
          <cell r="A19" t="str">
            <v>B2.9</v>
          </cell>
          <cell r="B19" t="str">
            <v>lecznictwo uzdrowiskowe</v>
          </cell>
          <cell r="C19">
            <v>85014</v>
          </cell>
          <cell r="D19">
            <v>85014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7908</v>
          </cell>
          <cell r="D20">
            <v>7908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32446</v>
          </cell>
          <cell r="D21">
            <v>32446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270995</v>
          </cell>
          <cell r="D22">
            <v>270995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173250</v>
          </cell>
          <cell r="D23">
            <v>173250</v>
          </cell>
        </row>
        <row r="24">
          <cell r="A24" t="str">
            <v>B2.14</v>
          </cell>
          <cell r="B24" t="str">
            <v>refundacja, z tego:</v>
          </cell>
          <cell r="C24">
            <v>1100687</v>
          </cell>
          <cell r="D24">
            <v>1072687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1098597</v>
          </cell>
          <cell r="D25">
            <v>1070597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1529</v>
          </cell>
          <cell r="D26">
            <v>1529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561</v>
          </cell>
          <cell r="D27">
            <v>561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115777</v>
          </cell>
          <cell r="D32">
            <v>86777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37622</v>
          </cell>
          <cell r="D35">
            <v>37622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127</v>
          </cell>
          <cell r="D36">
            <v>127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228757</v>
          </cell>
          <cell r="D37">
            <v>228757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93414</v>
          </cell>
          <cell r="D38">
            <v>93414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1591084</v>
          </cell>
          <cell r="D40">
            <v>1591084</v>
          </cell>
        </row>
        <row r="41">
          <cell r="A41" t="str">
            <v>D</v>
          </cell>
          <cell r="B41" t="str">
            <v>Koszty administracyjne ( D1+...+D8 )</v>
          </cell>
          <cell r="C41">
            <v>71756</v>
          </cell>
          <cell r="D41">
            <v>71756</v>
          </cell>
        </row>
        <row r="42">
          <cell r="A42" t="str">
            <v>D1</v>
          </cell>
          <cell r="B42" t="str">
            <v>zużycie materiałów i energii</v>
          </cell>
          <cell r="C42">
            <v>2536</v>
          </cell>
          <cell r="D42">
            <v>2536</v>
          </cell>
        </row>
        <row r="43">
          <cell r="A43" t="str">
            <v>D2</v>
          </cell>
          <cell r="B43" t="str">
            <v>usługi obce</v>
          </cell>
          <cell r="C43">
            <v>9316</v>
          </cell>
          <cell r="D43">
            <v>9316</v>
          </cell>
        </row>
        <row r="44">
          <cell r="A44" t="str">
            <v>D3</v>
          </cell>
          <cell r="B44" t="str">
            <v>podatki i opłaty, z tego</v>
          </cell>
          <cell r="C44">
            <v>486</v>
          </cell>
          <cell r="D44">
            <v>486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127</v>
          </cell>
          <cell r="D45">
            <v>127</v>
          </cell>
        </row>
        <row r="46">
          <cell r="A46" t="str">
            <v>D3.1.1</v>
          </cell>
          <cell r="B46" t="str">
            <v>podatek od nieruchomości</v>
          </cell>
          <cell r="C46">
            <v>127</v>
          </cell>
          <cell r="D46">
            <v>127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10</v>
          </cell>
          <cell r="D47">
            <v>10</v>
          </cell>
        </row>
        <row r="48">
          <cell r="A48" t="str">
            <v>D3.3</v>
          </cell>
          <cell r="B48" t="str">
            <v>VAT</v>
          </cell>
          <cell r="C48">
            <v>7</v>
          </cell>
          <cell r="D48">
            <v>7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317</v>
          </cell>
          <cell r="D50">
            <v>317</v>
          </cell>
        </row>
        <row r="51">
          <cell r="A51" t="str">
            <v>D3.6</v>
          </cell>
          <cell r="B51" t="str">
            <v>inne</v>
          </cell>
          <cell r="C51">
            <v>25</v>
          </cell>
          <cell r="D51">
            <v>25</v>
          </cell>
        </row>
        <row r="52">
          <cell r="A52" t="str">
            <v>D4</v>
          </cell>
          <cell r="B52" t="str">
            <v>wynagrodzenia, w tym:</v>
          </cell>
          <cell r="C52">
            <v>43798</v>
          </cell>
          <cell r="D52">
            <v>43798</v>
          </cell>
        </row>
        <row r="53">
          <cell r="A53" t="str">
            <v>D4.1</v>
          </cell>
          <cell r="B53" t="str">
            <v>wynagrodzenia bezosobowe</v>
          </cell>
          <cell r="C53">
            <v>250</v>
          </cell>
          <cell r="D53">
            <v>250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9784</v>
          </cell>
          <cell r="D54">
            <v>9784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7515</v>
          </cell>
          <cell r="D55">
            <v>7515</v>
          </cell>
        </row>
        <row r="56">
          <cell r="A56" t="str">
            <v>D5.2</v>
          </cell>
          <cell r="B56" t="str">
            <v>składki na Fundusz Pracy</v>
          </cell>
          <cell r="C56">
            <v>1073</v>
          </cell>
          <cell r="D56">
            <v>1073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1196</v>
          </cell>
          <cell r="D58">
            <v>1196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5520</v>
          </cell>
          <cell r="D60">
            <v>5520</v>
          </cell>
        </row>
        <row r="61">
          <cell r="A61" t="str">
            <v>D8</v>
          </cell>
          <cell r="B61" t="str">
            <v>pozostałe koszty administracyjne</v>
          </cell>
          <cell r="C61">
            <v>316</v>
          </cell>
          <cell r="D61">
            <v>316</v>
          </cell>
        </row>
        <row r="62">
          <cell r="A62" t="str">
            <v>F</v>
          </cell>
          <cell r="B62" t="str">
            <v>Pozostałe koszty (F1+...+F4)</v>
          </cell>
          <cell r="C62">
            <v>2440</v>
          </cell>
          <cell r="D62">
            <v>2440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300</v>
          </cell>
          <cell r="D63">
            <v>300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1210</v>
          </cell>
          <cell r="D64">
            <v>1210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930</v>
          </cell>
          <cell r="D66">
            <v>930</v>
          </cell>
        </row>
        <row r="67">
          <cell r="A67" t="str">
            <v>H</v>
          </cell>
          <cell r="B67" t="str">
            <v>Koszty finansowe</v>
          </cell>
          <cell r="C67">
            <v>460</v>
          </cell>
          <cell r="D67">
            <v>460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339036</v>
          </cell>
          <cell r="D7">
            <v>339036</v>
          </cell>
        </row>
        <row r="8">
          <cell r="A8" t="str">
            <v>B2.2</v>
          </cell>
          <cell r="B8" t="str">
            <v>ambulatoryjna opieka specjalistyczna</v>
          </cell>
          <cell r="C8">
            <v>160656</v>
          </cell>
          <cell r="D8">
            <v>160656</v>
          </cell>
        </row>
        <row r="9">
          <cell r="A9" t="str">
            <v>B2.3</v>
          </cell>
          <cell r="B9" t="str">
            <v>leczenie szpitalne, w tym:</v>
          </cell>
          <cell r="C9">
            <v>1518287</v>
          </cell>
          <cell r="D9">
            <v>1518287</v>
          </cell>
        </row>
        <row r="10">
          <cell r="A10" t="str">
            <v>B2.3.1</v>
          </cell>
          <cell r="B10" t="str">
            <v>programy lekowe, w tym:</v>
          </cell>
          <cell r="C10">
            <v>125456</v>
          </cell>
          <cell r="D10">
            <v>125456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110000</v>
          </cell>
          <cell r="D11">
            <v>110000</v>
          </cell>
        </row>
        <row r="12">
          <cell r="A12" t="str">
            <v>B2.3.2</v>
          </cell>
          <cell r="B12" t="str">
            <v>chemioterapia, w tym:</v>
          </cell>
          <cell r="C12">
            <v>58031</v>
          </cell>
          <cell r="D12">
            <v>58031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27000</v>
          </cell>
          <cell r="D13">
            <v>27000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98196</v>
          </cell>
          <cell r="D14">
            <v>98196</v>
          </cell>
        </row>
        <row r="15">
          <cell r="A15" t="str">
            <v>B2.5</v>
          </cell>
          <cell r="B15" t="str">
            <v>rehabilitacja lecznicza</v>
          </cell>
          <cell r="C15">
            <v>87969</v>
          </cell>
          <cell r="D15">
            <v>87969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64294</v>
          </cell>
          <cell r="D16">
            <v>64294</v>
          </cell>
        </row>
        <row r="17">
          <cell r="A17" t="str">
            <v>B2.7</v>
          </cell>
          <cell r="B17" t="str">
            <v>opieka paliatywna i hospicyjna</v>
          </cell>
          <cell r="C17">
            <v>32089</v>
          </cell>
          <cell r="D17">
            <v>32089</v>
          </cell>
        </row>
        <row r="18">
          <cell r="A18" t="str">
            <v>B2.8</v>
          </cell>
          <cell r="B18" t="str">
            <v>leczenie stomatologiczne</v>
          </cell>
          <cell r="C18">
            <v>67721</v>
          </cell>
          <cell r="D18">
            <v>67721</v>
          </cell>
        </row>
        <row r="19">
          <cell r="A19" t="str">
            <v>B2.9</v>
          </cell>
          <cell r="B19" t="str">
            <v>lecznictwo uzdrowiskowe</v>
          </cell>
          <cell r="C19">
            <v>31006</v>
          </cell>
          <cell r="D19">
            <v>31006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1743</v>
          </cell>
          <cell r="D20">
            <v>1743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6308</v>
          </cell>
          <cell r="D21">
            <v>6308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55644</v>
          </cell>
          <cell r="D22">
            <v>55644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38000</v>
          </cell>
          <cell r="D23">
            <v>38000</v>
          </cell>
        </row>
        <row r="24">
          <cell r="A24" t="str">
            <v>B2.14</v>
          </cell>
          <cell r="B24" t="str">
            <v>refundacja, z tego:</v>
          </cell>
          <cell r="C24">
            <v>268961</v>
          </cell>
          <cell r="D24">
            <v>268961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268171</v>
          </cell>
          <cell r="D25">
            <v>268171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8957</v>
          </cell>
          <cell r="D29">
            <v>8957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16500</v>
          </cell>
          <cell r="D32">
            <v>14650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7880</v>
          </cell>
          <cell r="D35">
            <v>9730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442</v>
          </cell>
          <cell r="D36">
            <v>442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66230</v>
          </cell>
          <cell r="D37">
            <v>66230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25000</v>
          </cell>
          <cell r="D38">
            <v>25000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405961</v>
          </cell>
          <cell r="D40">
            <v>405961</v>
          </cell>
        </row>
        <row r="41">
          <cell r="A41" t="str">
            <v>D</v>
          </cell>
          <cell r="B41" t="str">
            <v>Koszty administracyjne ( D1+...+D8 )</v>
          </cell>
          <cell r="C41">
            <v>19688</v>
          </cell>
          <cell r="D41">
            <v>19688</v>
          </cell>
        </row>
        <row r="42">
          <cell r="A42" t="str">
            <v>D1</v>
          </cell>
          <cell r="B42" t="str">
            <v>zużycie materiałów i energii</v>
          </cell>
          <cell r="C42">
            <v>647</v>
          </cell>
          <cell r="D42">
            <v>647</v>
          </cell>
        </row>
        <row r="43">
          <cell r="A43" t="str">
            <v>D2</v>
          </cell>
          <cell r="B43" t="str">
            <v>usługi obce</v>
          </cell>
          <cell r="C43">
            <v>2493</v>
          </cell>
          <cell r="D43">
            <v>2493</v>
          </cell>
        </row>
        <row r="44">
          <cell r="A44" t="str">
            <v>D3</v>
          </cell>
          <cell r="B44" t="str">
            <v>podatki i opłaty, z tego</v>
          </cell>
          <cell r="C44">
            <v>61</v>
          </cell>
          <cell r="D44">
            <v>61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7</v>
          </cell>
          <cell r="D45">
            <v>7</v>
          </cell>
        </row>
        <row r="46">
          <cell r="A46" t="str">
            <v>D3.1.1</v>
          </cell>
          <cell r="B46" t="str">
            <v>podatek od nieruchomości</v>
          </cell>
          <cell r="C46">
            <v>7</v>
          </cell>
          <cell r="D46">
            <v>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17</v>
          </cell>
          <cell r="D47">
            <v>17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10</v>
          </cell>
          <cell r="D50">
            <v>10</v>
          </cell>
        </row>
        <row r="51">
          <cell r="A51" t="str">
            <v>D3.6</v>
          </cell>
          <cell r="B51" t="str">
            <v>inne</v>
          </cell>
          <cell r="C51">
            <v>27</v>
          </cell>
          <cell r="D51">
            <v>27</v>
          </cell>
        </row>
        <row r="52">
          <cell r="A52" t="str">
            <v>D4</v>
          </cell>
          <cell r="B52" t="str">
            <v>wynagrodzenia, w tym:</v>
          </cell>
          <cell r="C52">
            <v>12691</v>
          </cell>
          <cell r="D52">
            <v>12691</v>
          </cell>
        </row>
        <row r="53">
          <cell r="A53" t="str">
            <v>D4.1</v>
          </cell>
          <cell r="B53" t="str">
            <v>wynagrodzenia bezosobowe</v>
          </cell>
          <cell r="C53">
            <v>44</v>
          </cell>
          <cell r="D53">
            <v>44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2841</v>
          </cell>
          <cell r="D54">
            <v>2841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2180</v>
          </cell>
          <cell r="D55">
            <v>2180</v>
          </cell>
        </row>
        <row r="56">
          <cell r="A56" t="str">
            <v>D5.2</v>
          </cell>
          <cell r="B56" t="str">
            <v>składki na Fundusz Pracy</v>
          </cell>
          <cell r="C56">
            <v>311</v>
          </cell>
          <cell r="D56">
            <v>311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350</v>
          </cell>
          <cell r="D58">
            <v>350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766</v>
          </cell>
          <cell r="D60">
            <v>766</v>
          </cell>
        </row>
        <row r="61">
          <cell r="A61" t="str">
            <v>D8</v>
          </cell>
          <cell r="B61" t="str">
            <v>pozostałe koszty administracyjne</v>
          </cell>
          <cell r="C61">
            <v>189</v>
          </cell>
          <cell r="D61">
            <v>189</v>
          </cell>
        </row>
        <row r="62">
          <cell r="A62" t="str">
            <v>F</v>
          </cell>
          <cell r="B62" t="str">
            <v>Pozostałe koszty (F1+...+F4)</v>
          </cell>
          <cell r="C62">
            <v>11241</v>
          </cell>
          <cell r="D62">
            <v>11241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10340</v>
          </cell>
          <cell r="D64">
            <v>10340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901</v>
          </cell>
          <cell r="D66">
            <v>901</v>
          </cell>
        </row>
        <row r="67">
          <cell r="A67" t="str">
            <v>H</v>
          </cell>
          <cell r="B67" t="str">
            <v>Koszty finansowe</v>
          </cell>
          <cell r="C67">
            <v>1712</v>
          </cell>
          <cell r="D67">
            <v>1712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393091</v>
          </cell>
          <cell r="D7">
            <v>393091</v>
          </cell>
        </row>
        <row r="8">
          <cell r="A8" t="str">
            <v>B2.2</v>
          </cell>
          <cell r="B8" t="str">
            <v>ambulatoryjna opieka specjalistyczna</v>
          </cell>
          <cell r="C8">
            <v>161075</v>
          </cell>
          <cell r="D8">
            <v>161075</v>
          </cell>
        </row>
        <row r="9">
          <cell r="A9" t="str">
            <v>B2.3</v>
          </cell>
          <cell r="B9" t="str">
            <v>leczenie szpitalne, w tym:</v>
          </cell>
          <cell r="C9">
            <v>1538199</v>
          </cell>
          <cell r="D9">
            <v>1538199</v>
          </cell>
        </row>
        <row r="10">
          <cell r="A10" t="str">
            <v>B2.3.1</v>
          </cell>
          <cell r="B10" t="str">
            <v>programy lekowe, w tym:</v>
          </cell>
          <cell r="C10">
            <v>125670</v>
          </cell>
          <cell r="D10">
            <v>125670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114445</v>
          </cell>
          <cell r="D11">
            <v>114445</v>
          </cell>
        </row>
        <row r="12">
          <cell r="A12" t="str">
            <v>B2.3.2</v>
          </cell>
          <cell r="B12" t="str">
            <v>chemioterapia, w tym:</v>
          </cell>
          <cell r="C12">
            <v>50387</v>
          </cell>
          <cell r="D12">
            <v>50387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23015</v>
          </cell>
          <cell r="D13">
            <v>23015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108100</v>
          </cell>
          <cell r="D14">
            <v>108100</v>
          </cell>
        </row>
        <row r="15">
          <cell r="A15" t="str">
            <v>B2.5</v>
          </cell>
          <cell r="B15" t="str">
            <v>rehabilitacja lecznicza</v>
          </cell>
          <cell r="C15">
            <v>89812</v>
          </cell>
          <cell r="D15">
            <v>89812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53212</v>
          </cell>
          <cell r="D16">
            <v>53212</v>
          </cell>
        </row>
        <row r="17">
          <cell r="A17" t="str">
            <v>B2.7</v>
          </cell>
          <cell r="B17" t="str">
            <v>opieka paliatywna i hospicyjna</v>
          </cell>
          <cell r="C17">
            <v>25465</v>
          </cell>
          <cell r="D17">
            <v>25465</v>
          </cell>
        </row>
        <row r="18">
          <cell r="A18" t="str">
            <v>B2.8</v>
          </cell>
          <cell r="B18" t="str">
            <v>leczenie stomatologiczne</v>
          </cell>
          <cell r="C18">
            <v>81440</v>
          </cell>
          <cell r="D18">
            <v>81440</v>
          </cell>
        </row>
        <row r="19">
          <cell r="A19" t="str">
            <v>B2.9</v>
          </cell>
          <cell r="B19" t="str">
            <v>lecznictwo uzdrowiskowe</v>
          </cell>
          <cell r="C19">
            <v>23335</v>
          </cell>
          <cell r="D19">
            <v>23335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2992</v>
          </cell>
          <cell r="D20">
            <v>2992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7039</v>
          </cell>
          <cell r="D21">
            <v>7039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69748</v>
          </cell>
          <cell r="D22">
            <v>69748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44027</v>
          </cell>
          <cell r="D23">
            <v>44027</v>
          </cell>
        </row>
        <row r="24">
          <cell r="A24" t="str">
            <v>B2.14</v>
          </cell>
          <cell r="B24" t="str">
            <v>refundacja, z tego:</v>
          </cell>
          <cell r="C24">
            <v>288622</v>
          </cell>
          <cell r="D24">
            <v>288622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287952</v>
          </cell>
          <cell r="D25">
            <v>287952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64776</v>
          </cell>
          <cell r="D32">
            <v>64776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</v>
          </cell>
          <cell r="D34">
            <v>500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12700</v>
          </cell>
          <cell r="D35">
            <v>12700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108501</v>
          </cell>
          <cell r="D37">
            <v>108501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25677</v>
          </cell>
          <cell r="D38">
            <v>25677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426082</v>
          </cell>
          <cell r="D40">
            <v>426082</v>
          </cell>
        </row>
        <row r="41">
          <cell r="A41" t="str">
            <v>D</v>
          </cell>
          <cell r="B41" t="str">
            <v>Koszty administracyjne ( D1+...+D8 )</v>
          </cell>
          <cell r="C41">
            <v>24603</v>
          </cell>
          <cell r="D41">
            <v>24603</v>
          </cell>
        </row>
        <row r="42">
          <cell r="A42" t="str">
            <v>D1</v>
          </cell>
          <cell r="B42" t="str">
            <v>zużycie materiałów i energii</v>
          </cell>
          <cell r="C42">
            <v>807</v>
          </cell>
          <cell r="D42">
            <v>807</v>
          </cell>
        </row>
        <row r="43">
          <cell r="A43" t="str">
            <v>D2</v>
          </cell>
          <cell r="B43" t="str">
            <v>usługi obce</v>
          </cell>
          <cell r="C43">
            <v>3274</v>
          </cell>
          <cell r="D43">
            <v>3274</v>
          </cell>
        </row>
        <row r="44">
          <cell r="A44" t="str">
            <v>D3</v>
          </cell>
          <cell r="B44" t="str">
            <v>podatki i opłaty, z tego</v>
          </cell>
          <cell r="C44">
            <v>144</v>
          </cell>
          <cell r="D44">
            <v>144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32</v>
          </cell>
          <cell r="D45">
            <v>32</v>
          </cell>
        </row>
        <row r="46">
          <cell r="A46" t="str">
            <v>D3.1.1</v>
          </cell>
          <cell r="B46" t="str">
            <v>podatek od nieruchomości</v>
          </cell>
          <cell r="C46">
            <v>29</v>
          </cell>
          <cell r="D46">
            <v>29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11</v>
          </cell>
          <cell r="D47">
            <v>11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98</v>
          </cell>
          <cell r="D50">
            <v>98</v>
          </cell>
        </row>
        <row r="51">
          <cell r="A51" t="str">
            <v>D3.6</v>
          </cell>
          <cell r="B51" t="str">
            <v>inne</v>
          </cell>
          <cell r="C51">
            <v>3</v>
          </cell>
          <cell r="D51">
            <v>3</v>
          </cell>
        </row>
        <row r="52">
          <cell r="A52" t="str">
            <v>D4</v>
          </cell>
          <cell r="B52" t="str">
            <v>wynagrodzenia, w tym:</v>
          </cell>
          <cell r="C52">
            <v>13446</v>
          </cell>
          <cell r="D52">
            <v>13446</v>
          </cell>
        </row>
        <row r="53">
          <cell r="A53" t="str">
            <v>D4.1</v>
          </cell>
          <cell r="B53" t="str">
            <v>wynagrodzenia bezosobowe</v>
          </cell>
          <cell r="C53">
            <v>30</v>
          </cell>
          <cell r="D53">
            <v>30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2999</v>
          </cell>
          <cell r="D54">
            <v>2999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2308</v>
          </cell>
          <cell r="D55">
            <v>2308</v>
          </cell>
        </row>
        <row r="56">
          <cell r="A56" t="str">
            <v>D5.2</v>
          </cell>
          <cell r="B56" t="str">
            <v>składki na Fundusz Pracy</v>
          </cell>
          <cell r="C56">
            <v>330</v>
          </cell>
          <cell r="D56">
            <v>330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361</v>
          </cell>
          <cell r="D58">
            <v>361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3760</v>
          </cell>
          <cell r="D60">
            <v>3760</v>
          </cell>
        </row>
        <row r="61">
          <cell r="A61" t="str">
            <v>D8</v>
          </cell>
          <cell r="B61" t="str">
            <v>pozostałe koszty administracyjne</v>
          </cell>
          <cell r="C61">
            <v>173</v>
          </cell>
          <cell r="D61">
            <v>173</v>
          </cell>
        </row>
        <row r="62">
          <cell r="A62" t="str">
            <v>F</v>
          </cell>
          <cell r="B62" t="str">
            <v>Pozostałe koszty (F1+...+F4)</v>
          </cell>
          <cell r="C62">
            <v>1205</v>
          </cell>
          <cell r="D62">
            <v>1205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380</v>
          </cell>
          <cell r="D64">
            <v>380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825</v>
          </cell>
          <cell r="D66">
            <v>825</v>
          </cell>
        </row>
        <row r="67">
          <cell r="A67" t="str">
            <v>H</v>
          </cell>
          <cell r="B67" t="str">
            <v>Koszty finansowe</v>
          </cell>
          <cell r="C67">
            <v>45</v>
          </cell>
          <cell r="D67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1046439</v>
          </cell>
          <cell r="D7">
            <v>1046439</v>
          </cell>
        </row>
        <row r="8">
          <cell r="A8" t="str">
            <v>B2.2</v>
          </cell>
          <cell r="B8" t="str">
            <v>ambulatoryjna opieka specjalistyczna</v>
          </cell>
          <cell r="C8">
            <v>475000</v>
          </cell>
          <cell r="D8">
            <v>475000</v>
          </cell>
        </row>
        <row r="9">
          <cell r="A9" t="str">
            <v>B2.3</v>
          </cell>
          <cell r="B9" t="str">
            <v>leczenie szpitalne, w tym:</v>
          </cell>
          <cell r="C9">
            <v>3905877</v>
          </cell>
          <cell r="D9">
            <v>3905877</v>
          </cell>
        </row>
        <row r="10">
          <cell r="A10" t="str">
            <v>B2.3.1</v>
          </cell>
          <cell r="B10" t="str">
            <v>programy lekowe, w tym:</v>
          </cell>
          <cell r="C10">
            <v>400897</v>
          </cell>
          <cell r="D10">
            <v>400897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367908</v>
          </cell>
          <cell r="D11">
            <v>367908</v>
          </cell>
        </row>
        <row r="12">
          <cell r="A12" t="str">
            <v>B2.3.2</v>
          </cell>
          <cell r="B12" t="str">
            <v>chemioterapia, w tym:</v>
          </cell>
          <cell r="C12">
            <v>146805</v>
          </cell>
          <cell r="D12">
            <v>146805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71967</v>
          </cell>
          <cell r="D13">
            <v>71967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272062</v>
          </cell>
          <cell r="D14">
            <v>272062</v>
          </cell>
        </row>
        <row r="15">
          <cell r="A15" t="str">
            <v>B2.5</v>
          </cell>
          <cell r="B15" t="str">
            <v>rehabilitacja lecznicza</v>
          </cell>
          <cell r="C15">
            <v>224428</v>
          </cell>
          <cell r="D15">
            <v>224428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105919</v>
          </cell>
          <cell r="D16">
            <v>105919</v>
          </cell>
        </row>
        <row r="17">
          <cell r="A17" t="str">
            <v>B2.7</v>
          </cell>
          <cell r="B17" t="str">
            <v>opieka paliatywna i hospicyjna</v>
          </cell>
          <cell r="C17">
            <v>71045</v>
          </cell>
          <cell r="D17">
            <v>71045</v>
          </cell>
        </row>
        <row r="18">
          <cell r="A18" t="str">
            <v>B2.8</v>
          </cell>
          <cell r="B18" t="str">
            <v>leczenie stomatologiczne</v>
          </cell>
          <cell r="C18">
            <v>150463</v>
          </cell>
          <cell r="D18">
            <v>150463</v>
          </cell>
        </row>
        <row r="19">
          <cell r="A19" t="str">
            <v>B2.9</v>
          </cell>
          <cell r="B19" t="str">
            <v>lecznictwo uzdrowiskowe</v>
          </cell>
          <cell r="C19">
            <v>70500</v>
          </cell>
          <cell r="D19">
            <v>70500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3900</v>
          </cell>
          <cell r="D20">
            <v>3900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20093</v>
          </cell>
          <cell r="D21">
            <v>20093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200772</v>
          </cell>
          <cell r="D22">
            <v>200772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107729</v>
          </cell>
          <cell r="D23">
            <v>107729</v>
          </cell>
        </row>
        <row r="24">
          <cell r="A24" t="str">
            <v>B2.14</v>
          </cell>
          <cell r="B24" t="str">
            <v>refundacja, z tego:</v>
          </cell>
          <cell r="C24">
            <v>837687</v>
          </cell>
          <cell r="D24">
            <v>837687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834687</v>
          </cell>
          <cell r="D25">
            <v>834687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47524</v>
          </cell>
          <cell r="D32">
            <v>47524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6600</v>
          </cell>
          <cell r="D35">
            <v>6600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134</v>
          </cell>
          <cell r="D36">
            <v>134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170369</v>
          </cell>
          <cell r="D37">
            <v>170369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59695</v>
          </cell>
          <cell r="D38">
            <v>59695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1277562</v>
          </cell>
          <cell r="D40">
            <v>1277562</v>
          </cell>
        </row>
        <row r="41">
          <cell r="A41" t="str">
            <v>D</v>
          </cell>
          <cell r="B41" t="str">
            <v>Koszty administracyjne ( D1+...+D8 )</v>
          </cell>
          <cell r="C41">
            <v>49052</v>
          </cell>
          <cell r="D41">
            <v>49052</v>
          </cell>
        </row>
        <row r="42">
          <cell r="A42" t="str">
            <v>D1</v>
          </cell>
          <cell r="B42" t="str">
            <v>zużycie materiałów i energii</v>
          </cell>
          <cell r="C42">
            <v>2470</v>
          </cell>
          <cell r="D42">
            <v>2470</v>
          </cell>
        </row>
        <row r="43">
          <cell r="A43" t="str">
            <v>D2</v>
          </cell>
          <cell r="B43" t="str">
            <v>usługi obce</v>
          </cell>
          <cell r="C43">
            <v>8842</v>
          </cell>
          <cell r="D43">
            <v>8842</v>
          </cell>
        </row>
        <row r="44">
          <cell r="A44" t="str">
            <v>D3</v>
          </cell>
          <cell r="B44" t="str">
            <v>podatki i opłaty, z tego</v>
          </cell>
          <cell r="C44">
            <v>580</v>
          </cell>
          <cell r="D44">
            <v>580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54</v>
          </cell>
          <cell r="D45">
            <v>54</v>
          </cell>
        </row>
        <row r="46">
          <cell r="A46" t="str">
            <v>D3.1.1</v>
          </cell>
          <cell r="B46" t="str">
            <v>podatek od nieruchomości</v>
          </cell>
          <cell r="C46">
            <v>54</v>
          </cell>
          <cell r="D46">
            <v>54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252</v>
          </cell>
          <cell r="D47">
            <v>252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268</v>
          </cell>
          <cell r="D50">
            <v>268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26817</v>
          </cell>
          <cell r="D52">
            <v>26817</v>
          </cell>
        </row>
        <row r="53">
          <cell r="A53" t="str">
            <v>D4.1</v>
          </cell>
          <cell r="B53" t="str">
            <v>wynagrodzenia bezosobowe</v>
          </cell>
          <cell r="C53">
            <v>123</v>
          </cell>
          <cell r="D53">
            <v>123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5992</v>
          </cell>
          <cell r="D54">
            <v>5992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4605</v>
          </cell>
          <cell r="D55">
            <v>4605</v>
          </cell>
        </row>
        <row r="56">
          <cell r="A56" t="str">
            <v>D5.2</v>
          </cell>
          <cell r="B56" t="str">
            <v>składki na Fundusz Pracy</v>
          </cell>
          <cell r="C56">
            <v>657</v>
          </cell>
          <cell r="D56">
            <v>657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730</v>
          </cell>
          <cell r="D58">
            <v>730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3963</v>
          </cell>
          <cell r="D60">
            <v>3963</v>
          </cell>
        </row>
        <row r="61">
          <cell r="A61" t="str">
            <v>D8</v>
          </cell>
          <cell r="B61" t="str">
            <v>pozostałe koszty administracyjne</v>
          </cell>
          <cell r="C61">
            <v>388</v>
          </cell>
          <cell r="D61">
            <v>388</v>
          </cell>
        </row>
        <row r="62">
          <cell r="A62" t="str">
            <v>F</v>
          </cell>
          <cell r="B62" t="str">
            <v>Pozostałe koszty (F1+...+F4)</v>
          </cell>
          <cell r="C62">
            <v>14290</v>
          </cell>
          <cell r="D62">
            <v>14290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50</v>
          </cell>
          <cell r="D63">
            <v>50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13490</v>
          </cell>
          <cell r="D64">
            <v>13490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750</v>
          </cell>
          <cell r="D66">
            <v>750</v>
          </cell>
        </row>
        <row r="67">
          <cell r="A67" t="str">
            <v>H</v>
          </cell>
          <cell r="B67" t="str">
            <v>Koszty finansowe</v>
          </cell>
          <cell r="C67">
            <v>3200</v>
          </cell>
          <cell r="D67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497492</v>
          </cell>
          <cell r="D7">
            <v>497492</v>
          </cell>
        </row>
        <row r="8">
          <cell r="A8" t="str">
            <v>B2.2</v>
          </cell>
          <cell r="B8" t="str">
            <v>ambulatoryjna opieka specjalistyczna</v>
          </cell>
          <cell r="C8">
            <v>200128</v>
          </cell>
          <cell r="D8">
            <v>200128</v>
          </cell>
        </row>
        <row r="9">
          <cell r="A9" t="str">
            <v>B2.3</v>
          </cell>
          <cell r="B9" t="str">
            <v>leczenie szpitalne, w tym:</v>
          </cell>
          <cell r="C9">
            <v>1868433</v>
          </cell>
          <cell r="D9">
            <v>1868433</v>
          </cell>
        </row>
        <row r="10">
          <cell r="A10" t="str">
            <v>B2.3.1</v>
          </cell>
          <cell r="B10" t="str">
            <v>programy lekowe, w tym:</v>
          </cell>
          <cell r="C10">
            <v>152086</v>
          </cell>
          <cell r="D10">
            <v>152086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137327</v>
          </cell>
          <cell r="D11">
            <v>137327</v>
          </cell>
        </row>
        <row r="12">
          <cell r="A12" t="str">
            <v>B2.3.2</v>
          </cell>
          <cell r="B12" t="str">
            <v>chemioterapia, w tym:</v>
          </cell>
          <cell r="C12">
            <v>65421</v>
          </cell>
          <cell r="D12">
            <v>65421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29901</v>
          </cell>
          <cell r="D13">
            <v>29901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109392</v>
          </cell>
          <cell r="D14">
            <v>109392</v>
          </cell>
        </row>
        <row r="15">
          <cell r="A15" t="str">
            <v>B2.5</v>
          </cell>
          <cell r="B15" t="str">
            <v>rehabilitacja lecznicza</v>
          </cell>
          <cell r="C15">
            <v>117577</v>
          </cell>
          <cell r="D15">
            <v>117577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57698</v>
          </cell>
          <cell r="D16">
            <v>57698</v>
          </cell>
        </row>
        <row r="17">
          <cell r="A17" t="str">
            <v>B2.7</v>
          </cell>
          <cell r="B17" t="str">
            <v>opieka paliatywna i hospicyjna</v>
          </cell>
          <cell r="C17">
            <v>21241</v>
          </cell>
          <cell r="D17">
            <v>21241</v>
          </cell>
        </row>
        <row r="18">
          <cell r="A18" t="str">
            <v>B2.8</v>
          </cell>
          <cell r="B18" t="str">
            <v>leczenie stomatologiczne</v>
          </cell>
          <cell r="C18">
            <v>88435</v>
          </cell>
          <cell r="D18">
            <v>88435</v>
          </cell>
        </row>
        <row r="19">
          <cell r="A19" t="str">
            <v>B2.9</v>
          </cell>
          <cell r="B19" t="str">
            <v>lecznictwo uzdrowiskowe</v>
          </cell>
          <cell r="C19">
            <v>32100</v>
          </cell>
          <cell r="D19">
            <v>32100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2587</v>
          </cell>
          <cell r="D20">
            <v>2587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10857</v>
          </cell>
          <cell r="D21">
            <v>10857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154623</v>
          </cell>
          <cell r="D22">
            <v>154623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56000</v>
          </cell>
          <cell r="D23">
            <v>56000</v>
          </cell>
        </row>
        <row r="24">
          <cell r="A24" t="str">
            <v>B2.14</v>
          </cell>
          <cell r="B24" t="str">
            <v>refundacja, z tego:</v>
          </cell>
          <cell r="C24">
            <v>363870</v>
          </cell>
          <cell r="D24">
            <v>363870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363120</v>
          </cell>
          <cell r="D25">
            <v>363120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400</v>
          </cell>
          <cell r="D27">
            <v>400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23618</v>
          </cell>
          <cell r="D29">
            <v>23618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5703</v>
          </cell>
          <cell r="D32">
            <v>5703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13452</v>
          </cell>
          <cell r="D35">
            <v>13452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238</v>
          </cell>
          <cell r="D36">
            <v>238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116177</v>
          </cell>
          <cell r="D37">
            <v>116177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31046</v>
          </cell>
          <cell r="D38">
            <v>31046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531098</v>
          </cell>
          <cell r="D40">
            <v>531098</v>
          </cell>
        </row>
        <row r="41">
          <cell r="A41" t="str">
            <v>D</v>
          </cell>
          <cell r="B41" t="str">
            <v>Koszty administracyjne ( D1+...+D8 )</v>
          </cell>
          <cell r="C41">
            <v>25045</v>
          </cell>
          <cell r="D41">
            <v>25045</v>
          </cell>
        </row>
        <row r="42">
          <cell r="A42" t="str">
            <v>D1</v>
          </cell>
          <cell r="B42" t="str">
            <v>zużycie materiałów i energii</v>
          </cell>
          <cell r="C42">
            <v>848</v>
          </cell>
          <cell r="D42">
            <v>848</v>
          </cell>
        </row>
        <row r="43">
          <cell r="A43" t="str">
            <v>D2</v>
          </cell>
          <cell r="B43" t="str">
            <v>usługi obce</v>
          </cell>
          <cell r="C43">
            <v>2981</v>
          </cell>
          <cell r="D43">
            <v>2981</v>
          </cell>
        </row>
        <row r="44">
          <cell r="A44" t="str">
            <v>D3</v>
          </cell>
          <cell r="B44" t="str">
            <v>podatki i opłaty, z tego</v>
          </cell>
          <cell r="C44">
            <v>294</v>
          </cell>
          <cell r="D44">
            <v>294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27</v>
          </cell>
          <cell r="D45">
            <v>27</v>
          </cell>
        </row>
        <row r="46">
          <cell r="A46" t="str">
            <v>D3.1.1</v>
          </cell>
          <cell r="B46" t="str">
            <v>podatek od nieruchomości</v>
          </cell>
          <cell r="C46">
            <v>27</v>
          </cell>
          <cell r="D46">
            <v>27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</v>
          </cell>
          <cell r="D47">
            <v>25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200</v>
          </cell>
          <cell r="D50">
            <v>200</v>
          </cell>
        </row>
        <row r="51">
          <cell r="A51" t="str">
            <v>D3.6</v>
          </cell>
          <cell r="B51" t="str">
            <v>inne</v>
          </cell>
          <cell r="C51">
            <v>42</v>
          </cell>
          <cell r="D51">
            <v>42</v>
          </cell>
        </row>
        <row r="52">
          <cell r="A52" t="str">
            <v>D4</v>
          </cell>
          <cell r="B52" t="str">
            <v>wynagrodzenia, w tym:</v>
          </cell>
          <cell r="C52">
            <v>15401</v>
          </cell>
          <cell r="D52">
            <v>15401</v>
          </cell>
        </row>
        <row r="53">
          <cell r="A53" t="str">
            <v>D4.1</v>
          </cell>
          <cell r="B53" t="str">
            <v>wynagrodzenia bezosobowe</v>
          </cell>
          <cell r="C53">
            <v>50</v>
          </cell>
          <cell r="D53">
            <v>50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3448</v>
          </cell>
          <cell r="D54">
            <v>3448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2644</v>
          </cell>
          <cell r="D55">
            <v>2644</v>
          </cell>
        </row>
        <row r="56">
          <cell r="A56" t="str">
            <v>D5.2</v>
          </cell>
          <cell r="B56" t="str">
            <v>składki na Fundusz Pracy</v>
          </cell>
          <cell r="C56">
            <v>378</v>
          </cell>
          <cell r="D56">
            <v>378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426</v>
          </cell>
          <cell r="D58">
            <v>426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1920</v>
          </cell>
          <cell r="D60">
            <v>1920</v>
          </cell>
        </row>
        <row r="61">
          <cell r="A61" t="str">
            <v>D8</v>
          </cell>
          <cell r="B61" t="str">
            <v>pozostałe koszty administracyjne</v>
          </cell>
          <cell r="C61">
            <v>153</v>
          </cell>
          <cell r="D61">
            <v>153</v>
          </cell>
        </row>
        <row r="62">
          <cell r="A62" t="str">
            <v>F</v>
          </cell>
          <cell r="B62" t="str">
            <v>Pozostałe koszty (F1+...+F4)</v>
          </cell>
          <cell r="C62">
            <v>716</v>
          </cell>
          <cell r="D62">
            <v>716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0</v>
          </cell>
          <cell r="D64">
            <v>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716</v>
          </cell>
          <cell r="D66">
            <v>716</v>
          </cell>
        </row>
        <row r="67">
          <cell r="A67" t="str">
            <v>H</v>
          </cell>
          <cell r="B67" t="str">
            <v>Koszty finansowe</v>
          </cell>
          <cell r="C67">
            <v>57</v>
          </cell>
          <cell r="D67">
            <v>57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5" width="25.7109375" style="3" customWidth="1"/>
    <col min="6" max="6" width="20.7109375" style="3" customWidth="1"/>
    <col min="7" max="8" width="9.140625" style="3"/>
    <col min="9" max="9" width="29.7109375" style="3" bestFit="1" customWidth="1"/>
    <col min="10" max="10" width="15.42578125" style="3" bestFit="1" customWidth="1"/>
    <col min="11" max="11" width="9.140625" style="3" customWidth="1"/>
    <col min="12" max="16384" width="9.140625" style="3"/>
  </cols>
  <sheetData>
    <row r="1" spans="1:10" s="28" customFormat="1" ht="58.5" customHeight="1" x14ac:dyDescent="0.35">
      <c r="A1" s="116" t="s">
        <v>204</v>
      </c>
      <c r="B1" s="116"/>
      <c r="C1" s="116"/>
      <c r="D1" s="116"/>
      <c r="E1" s="116"/>
      <c r="F1" s="116"/>
    </row>
    <row r="2" spans="1:10" s="21" customFormat="1" ht="35.25" customHeight="1" x14ac:dyDescent="0.3">
      <c r="A2" s="115" t="s">
        <v>164</v>
      </c>
      <c r="B2" s="115"/>
      <c r="C2" s="36"/>
    </row>
    <row r="3" spans="1:10" s="6" customFormat="1" ht="36" customHeight="1" x14ac:dyDescent="0.25">
      <c r="A3" s="4"/>
      <c r="B3" s="5"/>
      <c r="C3" s="35"/>
      <c r="D3" s="35"/>
      <c r="E3" s="35" t="s">
        <v>138</v>
      </c>
    </row>
    <row r="4" spans="1:10" s="59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  <c r="I4" s="112"/>
    </row>
    <row r="5" spans="1:10" ht="19.5" customHeight="1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10" s="10" customFormat="1" ht="63.75" customHeight="1" x14ac:dyDescent="0.4">
      <c r="A6" s="100">
        <v>1</v>
      </c>
      <c r="B6" s="67" t="s">
        <v>172</v>
      </c>
      <c r="C6" s="68">
        <f>C7+C8</f>
        <v>84255511</v>
      </c>
      <c r="D6" s="68">
        <f>D7+D8</f>
        <v>88420554</v>
      </c>
      <c r="E6" s="68">
        <f>IF(C6=D6,"-",D6-C6)</f>
        <v>4165043</v>
      </c>
      <c r="F6" s="69">
        <f>IF(C6=0,"-",D6/C6)</f>
        <v>1.0494000000000001</v>
      </c>
      <c r="I6" s="111"/>
      <c r="J6" s="111"/>
    </row>
    <row r="7" spans="1:10" ht="30" customHeight="1" x14ac:dyDescent="0.35">
      <c r="A7" s="101" t="s">
        <v>75</v>
      </c>
      <c r="B7" s="24" t="s">
        <v>76</v>
      </c>
      <c r="C7" s="7">
        <f>IFERROR(VLOOKUP(A7,[4]NFZ!$A$7:$D$100,4,FALSE),0)</f>
        <v>80905171</v>
      </c>
      <c r="D7" s="7">
        <f>C7+4049002</f>
        <v>84954173</v>
      </c>
      <c r="E7" s="7">
        <f t="shared" ref="E7:E83" si="0">IF(C7=D7,"-",D7-C7)</f>
        <v>4049002</v>
      </c>
      <c r="F7" s="42">
        <f t="shared" ref="F7:F83" si="1">IF(C7=0,"-",D7/C7)</f>
        <v>1.05</v>
      </c>
      <c r="I7" s="111"/>
      <c r="J7" s="111"/>
    </row>
    <row r="8" spans="1:10" ht="30" customHeight="1" x14ac:dyDescent="0.35">
      <c r="A8" s="101" t="s">
        <v>77</v>
      </c>
      <c r="B8" s="24" t="s">
        <v>78</v>
      </c>
      <c r="C8" s="7">
        <f>IFERROR(VLOOKUP(A8,[4]NFZ!$A$7:$D$100,4,FALSE),0)</f>
        <v>3350340</v>
      </c>
      <c r="D8" s="7">
        <f>C8+116041</f>
        <v>3466381</v>
      </c>
      <c r="E8" s="7">
        <f t="shared" si="0"/>
        <v>116041</v>
      </c>
      <c r="F8" s="42">
        <f t="shared" si="1"/>
        <v>1.0346</v>
      </c>
      <c r="I8" s="111"/>
      <c r="J8" s="111"/>
    </row>
    <row r="9" spans="1:10" s="10" customFormat="1" ht="38.25" customHeight="1" x14ac:dyDescent="0.4">
      <c r="A9" s="100">
        <v>2</v>
      </c>
      <c r="B9" s="67" t="s">
        <v>173</v>
      </c>
      <c r="C9" s="68">
        <f>C10+C11</f>
        <v>0</v>
      </c>
      <c r="D9" s="68">
        <f>D10+D11</f>
        <v>0</v>
      </c>
      <c r="E9" s="68" t="str">
        <f t="shared" si="0"/>
        <v>-</v>
      </c>
      <c r="F9" s="69" t="str">
        <f t="shared" si="1"/>
        <v>-</v>
      </c>
      <c r="I9" s="89"/>
    </row>
    <row r="10" spans="1:10" ht="30" customHeight="1" x14ac:dyDescent="0.4">
      <c r="A10" s="101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  <c r="I10" s="89"/>
    </row>
    <row r="11" spans="1:10" ht="30" customHeight="1" x14ac:dyDescent="0.4">
      <c r="A11" s="101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  <c r="I11" s="89"/>
    </row>
    <row r="12" spans="1:10" s="10" customFormat="1" ht="39.75" customHeight="1" x14ac:dyDescent="0.4">
      <c r="A12" s="100">
        <v>3</v>
      </c>
      <c r="B12" s="67" t="s">
        <v>174</v>
      </c>
      <c r="C12" s="68">
        <f>C13+C14</f>
        <v>115000</v>
      </c>
      <c r="D12" s="68">
        <f>D13+D14</f>
        <v>115000</v>
      </c>
      <c r="E12" s="68" t="str">
        <f t="shared" si="0"/>
        <v>-</v>
      </c>
      <c r="F12" s="69">
        <f t="shared" si="1"/>
        <v>1</v>
      </c>
      <c r="I12" s="89"/>
    </row>
    <row r="13" spans="1:10" ht="30" customHeight="1" x14ac:dyDescent="0.4">
      <c r="A13" s="101" t="s">
        <v>83</v>
      </c>
      <c r="B13" s="24" t="s">
        <v>76</v>
      </c>
      <c r="C13" s="7">
        <f>IFERROR(VLOOKUP(A13,[4]NFZ!$A$7:$D$100,4,FALSE),0)</f>
        <v>115000</v>
      </c>
      <c r="D13" s="7">
        <f>C13</f>
        <v>115000</v>
      </c>
      <c r="E13" s="7" t="str">
        <f t="shared" si="0"/>
        <v>-</v>
      </c>
      <c r="F13" s="42">
        <f t="shared" si="1"/>
        <v>1</v>
      </c>
      <c r="I13" s="89"/>
    </row>
    <row r="14" spans="1:10" ht="30" customHeight="1" x14ac:dyDescent="0.4">
      <c r="A14" s="101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2" t="str">
        <f t="shared" si="1"/>
        <v>-</v>
      </c>
      <c r="I14" s="89"/>
    </row>
    <row r="15" spans="1:10" s="10" customFormat="1" ht="39" customHeight="1" x14ac:dyDescent="0.4">
      <c r="A15" s="100">
        <v>4</v>
      </c>
      <c r="B15" s="67" t="s">
        <v>175</v>
      </c>
      <c r="C15" s="68">
        <f>C16+C17</f>
        <v>144762</v>
      </c>
      <c r="D15" s="68">
        <f>D16+D17</f>
        <v>152080</v>
      </c>
      <c r="E15" s="68">
        <f t="shared" si="0"/>
        <v>7318</v>
      </c>
      <c r="F15" s="69">
        <f t="shared" si="1"/>
        <v>1.0506</v>
      </c>
      <c r="I15" s="89"/>
    </row>
    <row r="16" spans="1:10" ht="30" customHeight="1" x14ac:dyDescent="0.35">
      <c r="A16" s="102" t="s">
        <v>85</v>
      </c>
      <c r="B16" s="24" t="s">
        <v>86</v>
      </c>
      <c r="C16" s="7">
        <f>IFERROR(VLOOKUP(A16,[4]NFZ!$A$7:$D$100,4,FALSE),0)</f>
        <v>141785</v>
      </c>
      <c r="D16" s="7">
        <f>C16+7086</f>
        <v>148871</v>
      </c>
      <c r="E16" s="7">
        <f t="shared" si="0"/>
        <v>7086</v>
      </c>
      <c r="F16" s="42">
        <f t="shared" si="1"/>
        <v>1.05</v>
      </c>
      <c r="I16" s="111"/>
    </row>
    <row r="17" spans="1:9" ht="30" customHeight="1" x14ac:dyDescent="0.4">
      <c r="A17" s="102" t="s">
        <v>87</v>
      </c>
      <c r="B17" s="24" t="s">
        <v>88</v>
      </c>
      <c r="C17" s="7">
        <f>IFERROR(VLOOKUP(A17,[4]NFZ!$A$7:$D$100,4,FALSE),0)</f>
        <v>2977</v>
      </c>
      <c r="D17" s="7">
        <f>C17+232</f>
        <v>3209</v>
      </c>
      <c r="E17" s="7">
        <f t="shared" si="0"/>
        <v>232</v>
      </c>
      <c r="F17" s="42">
        <f t="shared" si="1"/>
        <v>1.0779000000000001</v>
      </c>
      <c r="I17" s="89"/>
    </row>
    <row r="18" spans="1:9" s="10" customFormat="1" ht="60.75" customHeight="1" x14ac:dyDescent="0.4">
      <c r="A18" s="100">
        <v>5</v>
      </c>
      <c r="B18" s="67" t="s">
        <v>197</v>
      </c>
      <c r="C18" s="68">
        <f>IFERROR(VLOOKUP(A18,[4]NFZ!$A$7:$D$100,4,FALSE),0)</f>
        <v>36785</v>
      </c>
      <c r="D18" s="68">
        <f>C18</f>
        <v>36785</v>
      </c>
      <c r="E18" s="68" t="str">
        <f t="shared" si="0"/>
        <v>-</v>
      </c>
      <c r="F18" s="69">
        <f t="shared" si="1"/>
        <v>1</v>
      </c>
      <c r="I18" s="89"/>
    </row>
    <row r="19" spans="1:9" s="10" customFormat="1" ht="63.75" customHeight="1" x14ac:dyDescent="0.4">
      <c r="A19" s="103" t="s">
        <v>127</v>
      </c>
      <c r="B19" s="67" t="s">
        <v>202</v>
      </c>
      <c r="C19" s="68">
        <f>(C6-C9+C12-C15-C18)+C20+C21+C22+C23</f>
        <v>88213938</v>
      </c>
      <c r="D19" s="68">
        <f>(D6-D9+D12-D15-D18)+D20+D21+D22+D23</f>
        <v>92371663</v>
      </c>
      <c r="E19" s="68">
        <f t="shared" si="0"/>
        <v>4157725</v>
      </c>
      <c r="F19" s="69">
        <f t="shared" si="1"/>
        <v>1.0470999999999999</v>
      </c>
      <c r="I19" s="89"/>
    </row>
    <row r="20" spans="1:9" ht="31.5" customHeight="1" x14ac:dyDescent="0.4">
      <c r="A20" s="101" t="s">
        <v>89</v>
      </c>
      <c r="B20" s="25" t="s">
        <v>90</v>
      </c>
      <c r="C20" s="7">
        <f>IFERROR(VLOOKUP(A20,[4]NFZ!$A$7:$D$100,4,FALSE),0)</f>
        <v>267150</v>
      </c>
      <c r="D20" s="7">
        <f>C20</f>
        <v>267150</v>
      </c>
      <c r="E20" s="7" t="str">
        <f t="shared" si="0"/>
        <v>-</v>
      </c>
      <c r="F20" s="42">
        <f t="shared" si="1"/>
        <v>1</v>
      </c>
      <c r="I20" s="89"/>
    </row>
    <row r="21" spans="1:9" ht="31.5" customHeight="1" x14ac:dyDescent="0.4">
      <c r="A21" s="101" t="s">
        <v>91</v>
      </c>
      <c r="B21" s="25" t="s">
        <v>92</v>
      </c>
      <c r="C21" s="7">
        <f>IFERROR(VLOOKUP(A21,[4]NFZ!$A$7:$D$100,4,FALSE),0)</f>
        <v>3745</v>
      </c>
      <c r="D21" s="7">
        <f>C21</f>
        <v>3745</v>
      </c>
      <c r="E21" s="7" t="str">
        <f t="shared" si="0"/>
        <v>-</v>
      </c>
      <c r="F21" s="42">
        <f t="shared" si="1"/>
        <v>1</v>
      </c>
      <c r="I21" s="89"/>
    </row>
    <row r="22" spans="1:9" ht="50.25" customHeight="1" x14ac:dyDescent="0.4">
      <c r="A22" s="101" t="s">
        <v>93</v>
      </c>
      <c r="B22" s="25" t="s">
        <v>203</v>
      </c>
      <c r="C22" s="7">
        <f>IFERROR(VLOOKUP(A22,[4]NFZ!$A$7:$D$100,4,FALSE),0)</f>
        <v>1597247</v>
      </c>
      <c r="D22" s="7">
        <f>C22</f>
        <v>1597247</v>
      </c>
      <c r="E22" s="7" t="str">
        <f t="shared" si="0"/>
        <v>-</v>
      </c>
      <c r="F22" s="42">
        <f t="shared" si="1"/>
        <v>1</v>
      </c>
      <c r="I22" s="89"/>
    </row>
    <row r="23" spans="1:9" ht="31.5" customHeight="1" x14ac:dyDescent="0.4">
      <c r="A23" s="101" t="s">
        <v>94</v>
      </c>
      <c r="B23" s="26" t="s">
        <v>95</v>
      </c>
      <c r="C23" s="7">
        <f>IFERROR(VLOOKUP(A23,[4]NFZ!$A$7:$D$100,4,FALSE),0)</f>
        <v>2156832</v>
      </c>
      <c r="D23" s="7">
        <f>C23</f>
        <v>2156832</v>
      </c>
      <c r="E23" s="7" t="str">
        <f t="shared" si="0"/>
        <v>-</v>
      </c>
      <c r="F23" s="42">
        <f t="shared" si="1"/>
        <v>1</v>
      </c>
      <c r="I23" s="89"/>
    </row>
    <row r="24" spans="1:9" s="10" customFormat="1" ht="36" customHeight="1" x14ac:dyDescent="0.4">
      <c r="A24" s="103" t="s">
        <v>128</v>
      </c>
      <c r="B24" s="70" t="s">
        <v>201</v>
      </c>
      <c r="C24" s="68">
        <f>C25+C26+C56+C57+C58+C59</f>
        <v>88317962</v>
      </c>
      <c r="D24" s="68">
        <f>D25+D26+D56+D57+D58+D59</f>
        <v>92455687</v>
      </c>
      <c r="E24" s="68">
        <f t="shared" si="0"/>
        <v>4137725</v>
      </c>
      <c r="F24" s="69">
        <f t="shared" si="1"/>
        <v>1.0468999999999999</v>
      </c>
      <c r="I24" s="89"/>
    </row>
    <row r="25" spans="1:9" s="10" customFormat="1" ht="36" customHeight="1" x14ac:dyDescent="0.4">
      <c r="A25" s="103" t="s">
        <v>96</v>
      </c>
      <c r="B25" s="70" t="s">
        <v>97</v>
      </c>
      <c r="C25" s="68">
        <f>IFERROR(VLOOKUP(A25,[4]NFZ!$A$7:$D$100,4,FALSE),0)</f>
        <v>107519</v>
      </c>
      <c r="D25" s="68">
        <f>C25</f>
        <v>107519</v>
      </c>
      <c r="E25" s="68" t="str">
        <f t="shared" si="0"/>
        <v>-</v>
      </c>
      <c r="F25" s="69">
        <f t="shared" si="1"/>
        <v>1</v>
      </c>
      <c r="I25" s="89"/>
    </row>
    <row r="26" spans="1:9" s="10" customFormat="1" ht="36" customHeight="1" x14ac:dyDescent="0.4">
      <c r="A26" s="103" t="s">
        <v>0</v>
      </c>
      <c r="B26" s="70" t="s">
        <v>196</v>
      </c>
      <c r="C26" s="71">
        <f>C27+C28+C29+C34+C35+C36+C37+C38+C39+C40+C41+C42+C43+C44+C48+C49+C51+C52+C53+C54+C55</f>
        <v>85296211</v>
      </c>
      <c r="D26" s="71">
        <f>D27+D28+D29+D34+D35+D36+D37+D38+D39+D40+D41+D42+D43+D44+D48+D49+D51+D52+D53+D54+D55</f>
        <v>89432924</v>
      </c>
      <c r="E26" s="72">
        <f>IF(C26=D26,"-",D26-C26)</f>
        <v>4136713</v>
      </c>
      <c r="F26" s="73">
        <f t="shared" si="1"/>
        <v>1.0485</v>
      </c>
      <c r="I26" s="89"/>
    </row>
    <row r="27" spans="1:9" ht="30" customHeight="1" x14ac:dyDescent="0.4">
      <c r="A27" s="104" t="s">
        <v>1</v>
      </c>
      <c r="B27" s="48" t="s">
        <v>116</v>
      </c>
      <c r="C27" s="7">
        <f>CENTRALA!C7+'Razem OW'!C7</f>
        <v>11251594</v>
      </c>
      <c r="D27" s="7">
        <f>CENTRALA!D7+'Razem OW'!D7</f>
        <v>12307338</v>
      </c>
      <c r="E27" s="7">
        <f t="shared" si="0"/>
        <v>1055744</v>
      </c>
      <c r="F27" s="42">
        <f t="shared" si="1"/>
        <v>1.0938000000000001</v>
      </c>
      <c r="I27" s="89"/>
    </row>
    <row r="28" spans="1:9" ht="30" customHeight="1" x14ac:dyDescent="0.4">
      <c r="A28" s="104" t="s">
        <v>2</v>
      </c>
      <c r="B28" s="48" t="s">
        <v>117</v>
      </c>
      <c r="C28" s="7">
        <f>CENTRALA!C8+'Razem OW'!C8</f>
        <v>4835882</v>
      </c>
      <c r="D28" s="7">
        <f>CENTRALA!D8+'Razem OW'!D8</f>
        <v>5011496</v>
      </c>
      <c r="E28" s="7">
        <f>IF(C28=D28,"-",D28-C28)</f>
        <v>175614</v>
      </c>
      <c r="F28" s="42">
        <f t="shared" si="1"/>
        <v>1.0363</v>
      </c>
      <c r="I28" s="89"/>
    </row>
    <row r="29" spans="1:9" ht="30" customHeight="1" x14ac:dyDescent="0.4">
      <c r="A29" s="104" t="s">
        <v>3</v>
      </c>
      <c r="B29" s="48" t="s">
        <v>114</v>
      </c>
      <c r="C29" s="7">
        <f>CENTRALA!C9+'Razem OW'!C9</f>
        <v>44100547</v>
      </c>
      <c r="D29" s="7">
        <f>CENTRALA!D9+'Razem OW'!D9</f>
        <v>46158538</v>
      </c>
      <c r="E29" s="7">
        <f t="shared" si="0"/>
        <v>2057991</v>
      </c>
      <c r="F29" s="42">
        <f t="shared" si="1"/>
        <v>1.0467</v>
      </c>
      <c r="I29" s="89"/>
    </row>
    <row r="30" spans="1:9" ht="30" customHeight="1" x14ac:dyDescent="0.4">
      <c r="A30" s="105" t="s">
        <v>54</v>
      </c>
      <c r="B30" s="49" t="s">
        <v>195</v>
      </c>
      <c r="C30" s="7">
        <f>CENTRALA!C10+'Razem OW'!C10</f>
        <v>4182842</v>
      </c>
      <c r="D30" s="7">
        <f>CENTRALA!D10+'Razem OW'!D10</f>
        <v>4202483</v>
      </c>
      <c r="E30" s="7">
        <f t="shared" si="0"/>
        <v>19641</v>
      </c>
      <c r="F30" s="42">
        <f t="shared" si="1"/>
        <v>1.0046999999999999</v>
      </c>
      <c r="I30" s="89"/>
    </row>
    <row r="31" spans="1:9" ht="30" customHeight="1" x14ac:dyDescent="0.4">
      <c r="A31" s="105" t="s">
        <v>139</v>
      </c>
      <c r="B31" s="49" t="s">
        <v>142</v>
      </c>
      <c r="C31" s="7">
        <f>CENTRALA!C11+'Razem OW'!C11</f>
        <v>3791620</v>
      </c>
      <c r="D31" s="7">
        <f>CENTRALA!D11+'Razem OW'!D11</f>
        <v>3791620</v>
      </c>
      <c r="E31" s="7" t="str">
        <f t="shared" si="0"/>
        <v>-</v>
      </c>
      <c r="F31" s="42">
        <f t="shared" si="1"/>
        <v>1</v>
      </c>
      <c r="I31" s="89"/>
    </row>
    <row r="32" spans="1:9" ht="30" customHeight="1" x14ac:dyDescent="0.4">
      <c r="A32" s="105" t="s">
        <v>140</v>
      </c>
      <c r="B32" s="49" t="s">
        <v>143</v>
      </c>
      <c r="C32" s="7">
        <f>CENTRALA!C12+'Razem OW'!C12</f>
        <v>1551813</v>
      </c>
      <c r="D32" s="7">
        <f>CENTRALA!D12+'Razem OW'!D12</f>
        <v>1565418</v>
      </c>
      <c r="E32" s="7">
        <f t="shared" si="0"/>
        <v>13605</v>
      </c>
      <c r="F32" s="42">
        <f t="shared" si="1"/>
        <v>1.0087999999999999</v>
      </c>
      <c r="I32" s="89"/>
    </row>
    <row r="33" spans="1:9" ht="30" customHeight="1" x14ac:dyDescent="0.4">
      <c r="A33" s="105" t="s">
        <v>141</v>
      </c>
      <c r="B33" s="49" t="s">
        <v>144</v>
      </c>
      <c r="C33" s="7">
        <f>CENTRALA!C13+'Razem OW'!C13</f>
        <v>740505</v>
      </c>
      <c r="D33" s="7">
        <f>CENTRALA!D13+'Razem OW'!D13</f>
        <v>740505</v>
      </c>
      <c r="E33" s="7" t="str">
        <f t="shared" si="0"/>
        <v>-</v>
      </c>
      <c r="F33" s="42">
        <f t="shared" si="1"/>
        <v>1</v>
      </c>
      <c r="I33" s="89"/>
    </row>
    <row r="34" spans="1:9" ht="30" customHeight="1" x14ac:dyDescent="0.4">
      <c r="A34" s="104" t="s">
        <v>4</v>
      </c>
      <c r="B34" s="48" t="s">
        <v>122</v>
      </c>
      <c r="C34" s="7">
        <f>CENTRALA!C14+'Razem OW'!C14</f>
        <v>2894797</v>
      </c>
      <c r="D34" s="7">
        <f>CENTRALA!D14+'Razem OW'!D14</f>
        <v>3009210</v>
      </c>
      <c r="E34" s="7">
        <f t="shared" si="0"/>
        <v>114413</v>
      </c>
      <c r="F34" s="42">
        <f t="shared" si="1"/>
        <v>1.0395000000000001</v>
      </c>
      <c r="I34" s="89"/>
    </row>
    <row r="35" spans="1:9" ht="30" customHeight="1" x14ac:dyDescent="0.4">
      <c r="A35" s="104" t="s">
        <v>5</v>
      </c>
      <c r="B35" s="48" t="s">
        <v>118</v>
      </c>
      <c r="C35" s="7">
        <f>CENTRALA!C15+'Razem OW'!C15</f>
        <v>2709468</v>
      </c>
      <c r="D35" s="7">
        <f>CENTRALA!D15+'Razem OW'!D15</f>
        <v>2861004</v>
      </c>
      <c r="E35" s="7">
        <f t="shared" si="0"/>
        <v>151536</v>
      </c>
      <c r="F35" s="42">
        <f t="shared" si="1"/>
        <v>1.0559000000000001</v>
      </c>
      <c r="I35" s="89"/>
    </row>
    <row r="36" spans="1:9" ht="30" customHeight="1" x14ac:dyDescent="0.4">
      <c r="A36" s="104" t="s">
        <v>6</v>
      </c>
      <c r="B36" s="48" t="s">
        <v>124</v>
      </c>
      <c r="C36" s="7">
        <f>CENTRALA!C16+'Razem OW'!C16</f>
        <v>1733600</v>
      </c>
      <c r="D36" s="7">
        <f>CENTRALA!D16+'Razem OW'!D16</f>
        <v>1862531</v>
      </c>
      <c r="E36" s="7">
        <f t="shared" si="0"/>
        <v>128931</v>
      </c>
      <c r="F36" s="42">
        <f t="shared" si="1"/>
        <v>1.0744</v>
      </c>
      <c r="I36" s="89"/>
    </row>
    <row r="37" spans="1:9" ht="30" customHeight="1" x14ac:dyDescent="0.4">
      <c r="A37" s="104" t="s">
        <v>7</v>
      </c>
      <c r="B37" s="48" t="s">
        <v>123</v>
      </c>
      <c r="C37" s="7">
        <f>CENTRALA!C17+'Razem OW'!C17</f>
        <v>763935</v>
      </c>
      <c r="D37" s="7">
        <f>CENTRALA!D17+'Razem OW'!D17</f>
        <v>802712</v>
      </c>
      <c r="E37" s="7">
        <f>IF(C37=D37,"-",D37-C37)</f>
        <v>38777</v>
      </c>
      <c r="F37" s="42">
        <f>IF(C37=0,"-",D37/C37)</f>
        <v>1.0508</v>
      </c>
      <c r="I37" s="89"/>
    </row>
    <row r="38" spans="1:9" ht="30" customHeight="1" x14ac:dyDescent="0.4">
      <c r="A38" s="104" t="s">
        <v>8</v>
      </c>
      <c r="B38" s="48" t="s">
        <v>119</v>
      </c>
      <c r="C38" s="7">
        <f>CENTRALA!C18+'Razem OW'!C18</f>
        <v>1894205</v>
      </c>
      <c r="D38" s="7">
        <f>CENTRALA!D18+'Razem OW'!D18</f>
        <v>1920533</v>
      </c>
      <c r="E38" s="7">
        <f t="shared" si="0"/>
        <v>26328</v>
      </c>
      <c r="F38" s="42">
        <f t="shared" si="1"/>
        <v>1.0139</v>
      </c>
      <c r="I38" s="89"/>
    </row>
    <row r="39" spans="1:9" ht="30" customHeight="1" x14ac:dyDescent="0.4">
      <c r="A39" s="104" t="s">
        <v>9</v>
      </c>
      <c r="B39" s="48" t="s">
        <v>120</v>
      </c>
      <c r="C39" s="7">
        <f>CENTRALA!C19+'Razem OW'!C19</f>
        <v>734532</v>
      </c>
      <c r="D39" s="7">
        <f>CENTRALA!D19+'Razem OW'!D19</f>
        <v>740593</v>
      </c>
      <c r="E39" s="7">
        <f t="shared" si="0"/>
        <v>6061</v>
      </c>
      <c r="F39" s="42">
        <f t="shared" si="1"/>
        <v>1.0083</v>
      </c>
      <c r="I39" s="89"/>
    </row>
    <row r="40" spans="1:9" ht="30" customHeight="1" x14ac:dyDescent="0.4">
      <c r="A40" s="104" t="s">
        <v>10</v>
      </c>
      <c r="B40" s="48" t="s">
        <v>125</v>
      </c>
      <c r="C40" s="7">
        <f>CENTRALA!C20+'Razem OW'!C20</f>
        <v>53432</v>
      </c>
      <c r="D40" s="7">
        <f>CENTRALA!D20+'Razem OW'!D20</f>
        <v>53914</v>
      </c>
      <c r="E40" s="7">
        <f t="shared" si="0"/>
        <v>482</v>
      </c>
      <c r="F40" s="42">
        <f t="shared" si="1"/>
        <v>1.0089999999999999</v>
      </c>
      <c r="I40" s="89"/>
    </row>
    <row r="41" spans="1:9" ht="40.5" x14ac:dyDescent="0.4">
      <c r="A41" s="104" t="s">
        <v>11</v>
      </c>
      <c r="B41" s="48" t="s">
        <v>121</v>
      </c>
      <c r="C41" s="7">
        <f>CENTRALA!C21+'Razem OW'!C21</f>
        <v>206731</v>
      </c>
      <c r="D41" s="7">
        <f>CENTRALA!D21+'Razem OW'!D21</f>
        <v>210816</v>
      </c>
      <c r="E41" s="7">
        <f t="shared" si="0"/>
        <v>4085</v>
      </c>
      <c r="F41" s="42">
        <f t="shared" si="1"/>
        <v>1.0198</v>
      </c>
      <c r="I41" s="89"/>
    </row>
    <row r="42" spans="1:9" ht="30" customHeight="1" x14ac:dyDescent="0.4">
      <c r="A42" s="104" t="s">
        <v>12</v>
      </c>
      <c r="B42" s="48" t="s">
        <v>161</v>
      </c>
      <c r="C42" s="7">
        <f>CENTRALA!C22+'Razem OW'!C22</f>
        <v>2168481</v>
      </c>
      <c r="D42" s="7">
        <f>CENTRALA!D22+'Razem OW'!D22</f>
        <v>2284570</v>
      </c>
      <c r="E42" s="7">
        <f t="shared" si="0"/>
        <v>116089</v>
      </c>
      <c r="F42" s="42">
        <f t="shared" si="1"/>
        <v>1.0535000000000001</v>
      </c>
      <c r="I42" s="89"/>
    </row>
    <row r="43" spans="1:9" ht="40.5" x14ac:dyDescent="0.4">
      <c r="A43" s="104" t="s">
        <v>13</v>
      </c>
      <c r="B43" s="48" t="s">
        <v>145</v>
      </c>
      <c r="C43" s="7">
        <f>CENTRALA!C23+'Razem OW'!C23</f>
        <v>1199232</v>
      </c>
      <c r="D43" s="7">
        <f>CENTRALA!D23+'Razem OW'!D23</f>
        <v>1218432</v>
      </c>
      <c r="E43" s="7">
        <f t="shared" si="0"/>
        <v>19200</v>
      </c>
      <c r="F43" s="42">
        <f t="shared" si="1"/>
        <v>1.016</v>
      </c>
      <c r="I43" s="89"/>
    </row>
    <row r="44" spans="1:9" ht="30" customHeight="1" x14ac:dyDescent="0.4">
      <c r="A44" s="106" t="s">
        <v>14</v>
      </c>
      <c r="B44" s="50" t="s">
        <v>176</v>
      </c>
      <c r="C44" s="7">
        <f>CENTRALA!C24+'Razem OW'!C24</f>
        <v>8703986</v>
      </c>
      <c r="D44" s="7">
        <f>CENTRALA!D24+'Razem OW'!D24</f>
        <v>8703986</v>
      </c>
      <c r="E44" s="7" t="str">
        <f t="shared" si="0"/>
        <v>-</v>
      </c>
      <c r="F44" s="42">
        <f t="shared" si="1"/>
        <v>1</v>
      </c>
      <c r="I44" s="89"/>
    </row>
    <row r="45" spans="1:9" ht="41.25" customHeight="1" x14ac:dyDescent="0.4">
      <c r="A45" s="105" t="s">
        <v>126</v>
      </c>
      <c r="B45" s="49" t="s">
        <v>147</v>
      </c>
      <c r="C45" s="7">
        <f>CENTRALA!C25+'Razem OW'!C25</f>
        <v>8669158</v>
      </c>
      <c r="D45" s="7">
        <f>CENTRALA!D25+'Razem OW'!D25</f>
        <v>8669158</v>
      </c>
      <c r="E45" s="7" t="str">
        <f t="shared" si="0"/>
        <v>-</v>
      </c>
      <c r="F45" s="42">
        <f t="shared" si="1"/>
        <v>1</v>
      </c>
      <c r="I45" s="89"/>
    </row>
    <row r="46" spans="1:9" ht="30" customHeight="1" x14ac:dyDescent="0.4">
      <c r="A46" s="105" t="s">
        <v>146</v>
      </c>
      <c r="B46" s="49" t="s">
        <v>149</v>
      </c>
      <c r="C46" s="7">
        <f>CENTRALA!C26+'Razem OW'!C26</f>
        <v>20631</v>
      </c>
      <c r="D46" s="7">
        <f>CENTRALA!D26+'Razem OW'!D26</f>
        <v>20631</v>
      </c>
      <c r="E46" s="7" t="str">
        <f t="shared" si="0"/>
        <v>-</v>
      </c>
      <c r="F46" s="42">
        <f t="shared" si="1"/>
        <v>1</v>
      </c>
      <c r="I46" s="89"/>
    </row>
    <row r="47" spans="1:9" ht="41.25" customHeight="1" x14ac:dyDescent="0.4">
      <c r="A47" s="105" t="s">
        <v>150</v>
      </c>
      <c r="B47" s="49" t="s">
        <v>148</v>
      </c>
      <c r="C47" s="7">
        <f>CENTRALA!C27+'Razem OW'!C27</f>
        <v>14197</v>
      </c>
      <c r="D47" s="7">
        <f>CENTRALA!D27+'Razem OW'!D27</f>
        <v>14197</v>
      </c>
      <c r="E47" s="7" t="str">
        <f t="shared" si="0"/>
        <v>-</v>
      </c>
      <c r="F47" s="42">
        <f t="shared" si="1"/>
        <v>1</v>
      </c>
      <c r="I47" s="89"/>
    </row>
    <row r="48" spans="1:9" ht="31.5" customHeight="1" x14ac:dyDescent="0.4">
      <c r="A48" s="96" t="s">
        <v>15</v>
      </c>
      <c r="B48" s="51" t="s">
        <v>110</v>
      </c>
      <c r="C48" s="7">
        <f>CENTRALA!C28+'Razem OW'!C28</f>
        <v>748250</v>
      </c>
      <c r="D48" s="7">
        <f>CENTRALA!D28+'Razem OW'!D28</f>
        <v>748250</v>
      </c>
      <c r="E48" s="7" t="str">
        <f t="shared" si="0"/>
        <v>-</v>
      </c>
      <c r="F48" s="42">
        <f t="shared" si="1"/>
        <v>1</v>
      </c>
      <c r="I48" s="89"/>
    </row>
    <row r="49" spans="1:10" ht="31.5" customHeight="1" x14ac:dyDescent="0.4">
      <c r="A49" s="96" t="s">
        <v>107</v>
      </c>
      <c r="B49" s="24" t="s">
        <v>151</v>
      </c>
      <c r="C49" s="7">
        <f>CENTRALA!C29+'Razem OW'!C29</f>
        <v>32575</v>
      </c>
      <c r="D49" s="7">
        <f>CENTRALA!D29+'Razem OW'!D29</f>
        <v>250681</v>
      </c>
      <c r="E49" s="7">
        <f t="shared" si="0"/>
        <v>218106</v>
      </c>
      <c r="F49" s="42">
        <f t="shared" si="1"/>
        <v>7.6955</v>
      </c>
      <c r="I49" s="89"/>
    </row>
    <row r="50" spans="1:10" ht="30" customHeight="1" x14ac:dyDescent="0.4">
      <c r="A50" s="105" t="s">
        <v>152</v>
      </c>
      <c r="B50" s="49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  <c r="I50" s="89"/>
    </row>
    <row r="51" spans="1:10" ht="30" customHeight="1" x14ac:dyDescent="0.4">
      <c r="A51" s="96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  <c r="I51" s="89"/>
    </row>
    <row r="52" spans="1:10" ht="30" customHeight="1" x14ac:dyDescent="0.4">
      <c r="A52" s="96" t="s">
        <v>109</v>
      </c>
      <c r="B52" s="24" t="s">
        <v>162</v>
      </c>
      <c r="C52" s="7">
        <f>CENTRALA!C32+'Razem OW'!C32</f>
        <v>687334</v>
      </c>
      <c r="D52" s="7">
        <f>CENTRALA!D32+'Razem OW'!D32</f>
        <v>687334</v>
      </c>
      <c r="E52" s="7" t="str">
        <f t="shared" si="0"/>
        <v>-</v>
      </c>
      <c r="F52" s="42">
        <f t="shared" si="1"/>
        <v>1</v>
      </c>
      <c r="I52" s="89"/>
    </row>
    <row r="53" spans="1:10" ht="40.5" x14ac:dyDescent="0.4">
      <c r="A53" s="96" t="s">
        <v>177</v>
      </c>
      <c r="B53" s="24" t="s">
        <v>178</v>
      </c>
      <c r="C53" s="7">
        <f>CENTRALA!C33+'Razem OW'!C33</f>
        <v>114719</v>
      </c>
      <c r="D53" s="7">
        <f>CENTRALA!D33+'Razem OW'!D33</f>
        <v>114719</v>
      </c>
      <c r="E53" s="7" t="str">
        <f>IF(C53=D53,"-",D53-C53)</f>
        <v>-</v>
      </c>
      <c r="F53" s="42">
        <f>IF(C53=0,"-",D53/C53)</f>
        <v>1</v>
      </c>
      <c r="I53" s="89"/>
    </row>
    <row r="54" spans="1:10" ht="30" customHeight="1" x14ac:dyDescent="0.4">
      <c r="A54" s="96" t="s">
        <v>184</v>
      </c>
      <c r="B54" s="24" t="s">
        <v>185</v>
      </c>
      <c r="C54" s="7">
        <f>CENTRALA!C34+'Razem OW'!C34</f>
        <v>15779</v>
      </c>
      <c r="D54" s="7">
        <f>CENTRALA!D34+'Razem OW'!D34</f>
        <v>15779</v>
      </c>
      <c r="E54" s="7" t="str">
        <f>IF(C54=D54,"-",D54-C54)</f>
        <v>-</v>
      </c>
      <c r="F54" s="42">
        <f>IF(C54=0,"-",D54/C54)</f>
        <v>1</v>
      </c>
      <c r="I54" s="89"/>
    </row>
    <row r="55" spans="1:10" ht="42" customHeight="1" x14ac:dyDescent="0.4">
      <c r="A55" s="96" t="s">
        <v>192</v>
      </c>
      <c r="B55" s="24" t="s">
        <v>193</v>
      </c>
      <c r="C55" s="7">
        <f>CENTRALA!C35+'Razem OW'!C35</f>
        <v>447132</v>
      </c>
      <c r="D55" s="7">
        <f>CENTRALA!D35+'Razem OW'!D35</f>
        <v>470488</v>
      </c>
      <c r="E55" s="7">
        <f>IF(C55=D55,"-",D55-C55)</f>
        <v>23356</v>
      </c>
      <c r="F55" s="42">
        <f>IF(C55=0,"-",D55/C55)</f>
        <v>1.0522</v>
      </c>
      <c r="I55" s="89"/>
    </row>
    <row r="56" spans="1:10" s="10" customFormat="1" ht="30.75" customHeight="1" x14ac:dyDescent="0.4">
      <c r="A56" s="107" t="s">
        <v>56</v>
      </c>
      <c r="B56" s="74" t="s">
        <v>98</v>
      </c>
      <c r="C56" s="75">
        <f>CENTRALA!C36+'Razem OW'!C36</f>
        <v>3745</v>
      </c>
      <c r="D56" s="75">
        <f>C56</f>
        <v>3745</v>
      </c>
      <c r="E56" s="75" t="str">
        <f t="shared" si="0"/>
        <v>-</v>
      </c>
      <c r="F56" s="76">
        <f t="shared" si="1"/>
        <v>1</v>
      </c>
      <c r="I56" s="89"/>
    </row>
    <row r="57" spans="1:10" s="10" customFormat="1" ht="30.75" customHeight="1" x14ac:dyDescent="0.4">
      <c r="A57" s="99" t="s">
        <v>55</v>
      </c>
      <c r="B57" s="74" t="s">
        <v>58</v>
      </c>
      <c r="C57" s="68">
        <f>CENTRALA!C37+'Razem OW'!C37</f>
        <v>2156832</v>
      </c>
      <c r="D57" s="68">
        <f>CENTRALA!D37+'Razem OW'!D37</f>
        <v>2156832</v>
      </c>
      <c r="E57" s="68" t="str">
        <f t="shared" si="0"/>
        <v>-</v>
      </c>
      <c r="F57" s="69">
        <f t="shared" si="1"/>
        <v>1</v>
      </c>
      <c r="I57" s="89"/>
    </row>
    <row r="58" spans="1:10" s="10" customFormat="1" ht="60.75" x14ac:dyDescent="0.4">
      <c r="A58" s="99" t="s">
        <v>186</v>
      </c>
      <c r="B58" s="74" t="s">
        <v>187</v>
      </c>
      <c r="C58" s="68">
        <f>CENTRALA!C38+'Razem OW'!C38</f>
        <v>733400</v>
      </c>
      <c r="D58" s="68">
        <f>CENTRALA!D38+'Razem OW'!D38</f>
        <v>733400</v>
      </c>
      <c r="E58" s="68" t="str">
        <f t="shared" si="0"/>
        <v>-</v>
      </c>
      <c r="F58" s="69">
        <f t="shared" si="1"/>
        <v>1</v>
      </c>
      <c r="I58" s="89"/>
    </row>
    <row r="59" spans="1:10" s="10" customFormat="1" ht="30" x14ac:dyDescent="0.4">
      <c r="A59" s="99" t="s">
        <v>199</v>
      </c>
      <c r="B59" s="74" t="s">
        <v>200</v>
      </c>
      <c r="C59" s="68">
        <f>CENTRALA!C39+'Razem OW'!C39</f>
        <v>20255</v>
      </c>
      <c r="D59" s="68">
        <f>CENTRALA!D39+'Razem OW'!D39</f>
        <v>21267</v>
      </c>
      <c r="E59" s="68">
        <f t="shared" si="0"/>
        <v>1012</v>
      </c>
      <c r="F59" s="69">
        <f t="shared" si="1"/>
        <v>1.05</v>
      </c>
      <c r="I59" s="89"/>
    </row>
    <row r="60" spans="1:10" s="10" customFormat="1" ht="45.75" customHeight="1" x14ac:dyDescent="0.4">
      <c r="A60" s="99" t="s">
        <v>153</v>
      </c>
      <c r="B60" s="74" t="s">
        <v>154</v>
      </c>
      <c r="C60" s="68">
        <f>CENTRALA!C40+'Razem OW'!C40</f>
        <v>13236111</v>
      </c>
      <c r="D60" s="68">
        <f>CENTRALA!D40+'Razem OW'!D40</f>
        <v>13236111</v>
      </c>
      <c r="E60" s="68" t="str">
        <f>IF(C60=D60,"-",D60-C60)</f>
        <v>-</v>
      </c>
      <c r="F60" s="69">
        <f t="shared" si="1"/>
        <v>1</v>
      </c>
      <c r="I60" s="89"/>
    </row>
    <row r="61" spans="1:10" s="10" customFormat="1" ht="33" customHeight="1" x14ac:dyDescent="0.4">
      <c r="A61" s="100" t="s">
        <v>129</v>
      </c>
      <c r="B61" s="67" t="s">
        <v>189</v>
      </c>
      <c r="C61" s="68">
        <f>C19-C24</f>
        <v>-104024</v>
      </c>
      <c r="D61" s="68">
        <f>D19-D24</f>
        <v>-84024</v>
      </c>
      <c r="E61" s="68">
        <f t="shared" si="0"/>
        <v>20000</v>
      </c>
      <c r="F61" s="69">
        <f t="shared" si="1"/>
        <v>0.80769999999999997</v>
      </c>
      <c r="I61" s="89"/>
    </row>
    <row r="62" spans="1:10" s="10" customFormat="1" ht="33" customHeight="1" x14ac:dyDescent="0.4">
      <c r="A62" s="100" t="s">
        <v>130</v>
      </c>
      <c r="B62" s="67" t="s">
        <v>179</v>
      </c>
      <c r="C62" s="68">
        <f>C63+C64+C65+C73+C75+C80+C81+C82</f>
        <v>844207</v>
      </c>
      <c r="D62" s="68">
        <f>D63+D64+D65+D73+D75+D80+D81+D82</f>
        <v>864207</v>
      </c>
      <c r="E62" s="68">
        <f t="shared" si="0"/>
        <v>20000</v>
      </c>
      <c r="F62" s="69">
        <f t="shared" si="1"/>
        <v>1.0237000000000001</v>
      </c>
      <c r="I62" s="89"/>
      <c r="J62" s="114" t="e">
        <f>D62/(D95+E93)</f>
        <v>#VALUE!</v>
      </c>
    </row>
    <row r="63" spans="1:10" ht="30" customHeight="1" x14ac:dyDescent="0.4">
      <c r="A63" s="96" t="s">
        <v>16</v>
      </c>
      <c r="B63" s="23" t="s">
        <v>17</v>
      </c>
      <c r="C63" s="7">
        <f>CENTRALA!C42+'Razem OW'!C42</f>
        <v>25595</v>
      </c>
      <c r="D63" s="7">
        <f>CENTRALA!D42+'Razem OW'!D42</f>
        <v>26582</v>
      </c>
      <c r="E63" s="7">
        <f t="shared" si="0"/>
        <v>987</v>
      </c>
      <c r="F63" s="42">
        <f t="shared" si="1"/>
        <v>1.0386</v>
      </c>
      <c r="I63" s="89"/>
    </row>
    <row r="64" spans="1:10" ht="30" customHeight="1" x14ac:dyDescent="0.4">
      <c r="A64" s="96" t="s">
        <v>18</v>
      </c>
      <c r="B64" s="23" t="s">
        <v>19</v>
      </c>
      <c r="C64" s="7">
        <f>CENTRALA!C43+'Razem OW'!C43</f>
        <v>214341</v>
      </c>
      <c r="D64" s="7">
        <f>CENTRALA!D43+'Razem OW'!D43</f>
        <v>224962</v>
      </c>
      <c r="E64" s="7">
        <f t="shared" si="0"/>
        <v>10621</v>
      </c>
      <c r="F64" s="42">
        <f t="shared" si="1"/>
        <v>1.0496000000000001</v>
      </c>
      <c r="I64" s="89"/>
    </row>
    <row r="65" spans="1:10" ht="30" customHeight="1" x14ac:dyDescent="0.4">
      <c r="A65" s="96" t="s">
        <v>20</v>
      </c>
      <c r="B65" s="27" t="s">
        <v>180</v>
      </c>
      <c r="C65" s="7">
        <f>C66+C68+C69+C70+C71+C72</f>
        <v>4888</v>
      </c>
      <c r="D65" s="7">
        <f>D66+D68+D69+D70+D71+D72</f>
        <v>4912</v>
      </c>
      <c r="E65" s="7">
        <f t="shared" si="0"/>
        <v>24</v>
      </c>
      <c r="F65" s="42">
        <f t="shared" si="1"/>
        <v>1.0048999999999999</v>
      </c>
      <c r="I65" s="89"/>
    </row>
    <row r="66" spans="1:10" s="8" customFormat="1" ht="30" customHeight="1" x14ac:dyDescent="0.4">
      <c r="A66" s="108" t="s">
        <v>37</v>
      </c>
      <c r="B66" s="52" t="s">
        <v>30</v>
      </c>
      <c r="C66" s="7">
        <f>CENTRALA!C45+'Razem OW'!C45</f>
        <v>669</v>
      </c>
      <c r="D66" s="7">
        <f>CENTRALA!D45+'Razem OW'!D45</f>
        <v>669</v>
      </c>
      <c r="E66" s="7" t="str">
        <f t="shared" si="0"/>
        <v>-</v>
      </c>
      <c r="F66" s="42">
        <f t="shared" si="1"/>
        <v>1</v>
      </c>
      <c r="I66" s="89"/>
    </row>
    <row r="67" spans="1:10" s="8" customFormat="1" ht="30" customHeight="1" x14ac:dyDescent="0.4">
      <c r="A67" s="108" t="s">
        <v>38</v>
      </c>
      <c r="B67" s="53" t="s">
        <v>31</v>
      </c>
      <c r="C67" s="7">
        <f>CENTRALA!C46+'Razem OW'!C46</f>
        <v>666</v>
      </c>
      <c r="D67" s="7">
        <f>CENTRALA!D46+'Razem OW'!D46</f>
        <v>666</v>
      </c>
      <c r="E67" s="7" t="str">
        <f t="shared" si="0"/>
        <v>-</v>
      </c>
      <c r="F67" s="42">
        <f t="shared" si="1"/>
        <v>1</v>
      </c>
      <c r="I67" s="89"/>
    </row>
    <row r="68" spans="1:10" s="8" customFormat="1" ht="30" customHeight="1" x14ac:dyDescent="0.4">
      <c r="A68" s="108" t="s">
        <v>39</v>
      </c>
      <c r="B68" s="52" t="s">
        <v>32</v>
      </c>
      <c r="C68" s="7">
        <f>CENTRALA!C47+'Razem OW'!C47</f>
        <v>733</v>
      </c>
      <c r="D68" s="7">
        <f>CENTRALA!D47+'Razem OW'!D47</f>
        <v>733</v>
      </c>
      <c r="E68" s="7" t="str">
        <f t="shared" si="0"/>
        <v>-</v>
      </c>
      <c r="F68" s="42">
        <f t="shared" si="1"/>
        <v>1</v>
      </c>
      <c r="I68" s="89"/>
    </row>
    <row r="69" spans="1:10" s="8" customFormat="1" ht="30" customHeight="1" x14ac:dyDescent="0.4">
      <c r="A69" s="108" t="s">
        <v>40</v>
      </c>
      <c r="B69" s="52" t="s">
        <v>33</v>
      </c>
      <c r="C69" s="7">
        <f>CENTRALA!C48+'Razem OW'!C48</f>
        <v>23</v>
      </c>
      <c r="D69" s="7">
        <f>CENTRALA!D48+'Razem OW'!D48</f>
        <v>23</v>
      </c>
      <c r="E69" s="7" t="str">
        <f t="shared" si="0"/>
        <v>-</v>
      </c>
      <c r="F69" s="42">
        <f t="shared" si="1"/>
        <v>1</v>
      </c>
      <c r="I69" s="89"/>
    </row>
    <row r="70" spans="1:10" s="8" customFormat="1" ht="30" customHeight="1" x14ac:dyDescent="0.4">
      <c r="A70" s="108" t="s">
        <v>41</v>
      </c>
      <c r="B70" s="52" t="s">
        <v>34</v>
      </c>
      <c r="C70" s="7">
        <f>CENTRALA!C49+'Razem OW'!C49</f>
        <v>0</v>
      </c>
      <c r="D70" s="7">
        <f>CENTRALA!D49+'Razem OW'!D49</f>
        <v>0</v>
      </c>
      <c r="E70" s="7" t="str">
        <f t="shared" si="0"/>
        <v>-</v>
      </c>
      <c r="F70" s="42" t="str">
        <f t="shared" si="1"/>
        <v>-</v>
      </c>
      <c r="I70" s="89"/>
    </row>
    <row r="71" spans="1:10" s="8" customFormat="1" ht="30" customHeight="1" x14ac:dyDescent="0.4">
      <c r="A71" s="108" t="s">
        <v>42</v>
      </c>
      <c r="B71" s="52" t="s">
        <v>35</v>
      </c>
      <c r="C71" s="7">
        <f>CENTRALA!C50+'Razem OW'!C50</f>
        <v>3004</v>
      </c>
      <c r="D71" s="7">
        <f>CENTRALA!D50+'Razem OW'!D50</f>
        <v>3028</v>
      </c>
      <c r="E71" s="7">
        <f t="shared" si="0"/>
        <v>24</v>
      </c>
      <c r="F71" s="42">
        <f t="shared" si="1"/>
        <v>1.008</v>
      </c>
      <c r="I71" s="89"/>
    </row>
    <row r="72" spans="1:10" s="9" customFormat="1" ht="30" customHeight="1" x14ac:dyDescent="0.4">
      <c r="A72" s="108" t="s">
        <v>43</v>
      </c>
      <c r="B72" s="52" t="s">
        <v>36</v>
      </c>
      <c r="C72" s="7">
        <f>CENTRALA!C51+'Razem OW'!C51</f>
        <v>459</v>
      </c>
      <c r="D72" s="7">
        <f>CENTRALA!D51+'Razem OW'!D51</f>
        <v>459</v>
      </c>
      <c r="E72" s="7" t="str">
        <f t="shared" si="0"/>
        <v>-</v>
      </c>
      <c r="F72" s="42">
        <f t="shared" si="1"/>
        <v>1</v>
      </c>
      <c r="I72" s="89"/>
    </row>
    <row r="73" spans="1:10" ht="30" customHeight="1" x14ac:dyDescent="0.35">
      <c r="A73" s="96" t="s">
        <v>21</v>
      </c>
      <c r="B73" s="23" t="s">
        <v>155</v>
      </c>
      <c r="C73" s="7">
        <f>CENTRALA!C52+'Razem OW'!C52</f>
        <v>389546</v>
      </c>
      <c r="D73" s="7">
        <f>CENTRALA!D52+'Razem OW'!D52</f>
        <v>396455</v>
      </c>
      <c r="E73" s="7">
        <f t="shared" si="0"/>
        <v>6909</v>
      </c>
      <c r="F73" s="42">
        <f t="shared" si="1"/>
        <v>1.0177</v>
      </c>
      <c r="I73" s="114">
        <f>D73/D62</f>
        <v>0.45879999999999999</v>
      </c>
      <c r="J73" s="114" t="e">
        <f>D73/(D95+E93)</f>
        <v>#VALUE!</v>
      </c>
    </row>
    <row r="74" spans="1:10" ht="30" customHeight="1" x14ac:dyDescent="0.4">
      <c r="A74" s="108" t="s">
        <v>156</v>
      </c>
      <c r="B74" s="52" t="s">
        <v>157</v>
      </c>
      <c r="C74" s="7">
        <f>CENTRALA!C53+'Razem OW'!C53</f>
        <v>1603</v>
      </c>
      <c r="D74" s="7">
        <f>CENTRALA!D53+'Razem OW'!D53</f>
        <v>1603</v>
      </c>
      <c r="E74" s="7" t="str">
        <f t="shared" si="0"/>
        <v>-</v>
      </c>
      <c r="F74" s="42">
        <f t="shared" si="1"/>
        <v>1</v>
      </c>
      <c r="I74" s="89"/>
    </row>
    <row r="75" spans="1:10" ht="30" customHeight="1" x14ac:dyDescent="0.4">
      <c r="A75" s="96" t="s">
        <v>22</v>
      </c>
      <c r="B75" s="27" t="s">
        <v>181</v>
      </c>
      <c r="C75" s="7">
        <f>SUM(C76:C79)</f>
        <v>88224</v>
      </c>
      <c r="D75" s="7">
        <f>SUM(D76:D79)</f>
        <v>89647</v>
      </c>
      <c r="E75" s="7">
        <f t="shared" si="0"/>
        <v>1423</v>
      </c>
      <c r="F75" s="42">
        <f t="shared" si="1"/>
        <v>1.0161</v>
      </c>
      <c r="I75" s="89"/>
    </row>
    <row r="76" spans="1:10" s="8" customFormat="1" ht="30" customHeight="1" x14ac:dyDescent="0.4">
      <c r="A76" s="108" t="s">
        <v>48</v>
      </c>
      <c r="B76" s="52" t="s">
        <v>44</v>
      </c>
      <c r="C76" s="7">
        <f>CENTRALA!C55+'Razem OW'!C55</f>
        <v>66906</v>
      </c>
      <c r="D76" s="7">
        <f>CENTRALA!D55+'Razem OW'!D55</f>
        <v>68023</v>
      </c>
      <c r="E76" s="7">
        <f t="shared" si="0"/>
        <v>1117</v>
      </c>
      <c r="F76" s="42">
        <f t="shared" si="1"/>
        <v>1.0166999999999999</v>
      </c>
      <c r="I76" s="89"/>
    </row>
    <row r="77" spans="1:10" s="8" customFormat="1" ht="30" customHeight="1" x14ac:dyDescent="0.4">
      <c r="A77" s="108" t="s">
        <v>49</v>
      </c>
      <c r="B77" s="52" t="s">
        <v>45</v>
      </c>
      <c r="C77" s="7">
        <f>CENTRALA!C56+'Razem OW'!C56</f>
        <v>9545</v>
      </c>
      <c r="D77" s="7">
        <f>CENTRALA!D56+'Razem OW'!D56</f>
        <v>9665</v>
      </c>
      <c r="E77" s="7">
        <f t="shared" si="0"/>
        <v>120</v>
      </c>
      <c r="F77" s="42">
        <f t="shared" si="1"/>
        <v>1.0125999999999999</v>
      </c>
      <c r="I77" s="89"/>
    </row>
    <row r="78" spans="1:10" s="8" customFormat="1" ht="30" customHeight="1" x14ac:dyDescent="0.4">
      <c r="A78" s="108" t="s">
        <v>50</v>
      </c>
      <c r="B78" s="52" t="s">
        <v>46</v>
      </c>
      <c r="C78" s="7">
        <f>CENTRALA!C57+'Razem OW'!C57</f>
        <v>0</v>
      </c>
      <c r="D78" s="7">
        <f>CENTRALA!D57+'Razem OW'!D57</f>
        <v>0</v>
      </c>
      <c r="E78" s="7" t="str">
        <f t="shared" si="0"/>
        <v>-</v>
      </c>
      <c r="F78" s="42" t="str">
        <f t="shared" si="1"/>
        <v>-</v>
      </c>
      <c r="I78" s="89"/>
    </row>
    <row r="79" spans="1:10" s="8" customFormat="1" ht="30" customHeight="1" x14ac:dyDescent="0.4">
      <c r="A79" s="108" t="s">
        <v>51</v>
      </c>
      <c r="B79" s="52" t="s">
        <v>47</v>
      </c>
      <c r="C79" s="7">
        <f>CENTRALA!C58+'Razem OW'!C58</f>
        <v>11773</v>
      </c>
      <c r="D79" s="7">
        <f>CENTRALA!D58+'Razem OW'!D58</f>
        <v>11959</v>
      </c>
      <c r="E79" s="7">
        <f t="shared" si="0"/>
        <v>186</v>
      </c>
      <c r="F79" s="42">
        <f t="shared" si="1"/>
        <v>1.0158</v>
      </c>
      <c r="I79" s="89"/>
    </row>
    <row r="80" spans="1:10" ht="30.75" customHeight="1" x14ac:dyDescent="0.4">
      <c r="A80" s="96" t="s">
        <v>23</v>
      </c>
      <c r="B80" s="23" t="s">
        <v>24</v>
      </c>
      <c r="C80" s="7">
        <f>CENTRALA!C59+'Razem OW'!C59</f>
        <v>50</v>
      </c>
      <c r="D80" s="7">
        <f>CENTRALA!D59+'Razem OW'!D59</f>
        <v>50</v>
      </c>
      <c r="E80" s="7" t="str">
        <f t="shared" si="0"/>
        <v>-</v>
      </c>
      <c r="F80" s="42">
        <f t="shared" si="1"/>
        <v>1</v>
      </c>
      <c r="I80" s="89"/>
    </row>
    <row r="81" spans="1:9" ht="30.75" customHeight="1" x14ac:dyDescent="0.4">
      <c r="A81" s="96" t="s">
        <v>25</v>
      </c>
      <c r="B81" s="23" t="s">
        <v>158</v>
      </c>
      <c r="C81" s="7">
        <f>CENTRALA!C60+'Razem OW'!C60</f>
        <v>115111</v>
      </c>
      <c r="D81" s="7">
        <f>CENTRALA!D60+'Razem OW'!D60</f>
        <v>115111</v>
      </c>
      <c r="E81" s="7" t="str">
        <f t="shared" si="0"/>
        <v>-</v>
      </c>
      <c r="F81" s="42">
        <f t="shared" si="1"/>
        <v>1</v>
      </c>
      <c r="I81" s="89"/>
    </row>
    <row r="82" spans="1:9" ht="30.75" customHeight="1" x14ac:dyDescent="0.4">
      <c r="A82" s="96" t="s">
        <v>26</v>
      </c>
      <c r="B82" s="23" t="s">
        <v>27</v>
      </c>
      <c r="C82" s="7">
        <f>CENTRALA!C61+'Razem OW'!C61</f>
        <v>6452</v>
      </c>
      <c r="D82" s="7">
        <f>CENTRALA!D61+'Razem OW'!D61</f>
        <v>6488</v>
      </c>
      <c r="E82" s="7">
        <f t="shared" si="0"/>
        <v>36</v>
      </c>
      <c r="F82" s="42">
        <f t="shared" si="1"/>
        <v>1.0056</v>
      </c>
      <c r="I82" s="89"/>
    </row>
    <row r="83" spans="1:9" s="10" customFormat="1" ht="33" customHeight="1" x14ac:dyDescent="0.4">
      <c r="A83" s="109" t="s">
        <v>131</v>
      </c>
      <c r="B83" s="78" t="s">
        <v>160</v>
      </c>
      <c r="C83" s="68">
        <f>IFERROR(VLOOKUP(A83,[4]NFZ!$A$7:$D$100,4,FALSE),0)</f>
        <v>428065</v>
      </c>
      <c r="D83" s="68">
        <f>C83</f>
        <v>428065</v>
      </c>
      <c r="E83" s="68" t="str">
        <f t="shared" si="0"/>
        <v>-</v>
      </c>
      <c r="F83" s="69">
        <f t="shared" si="1"/>
        <v>1</v>
      </c>
      <c r="I83" s="89"/>
    </row>
    <row r="84" spans="1:9" s="10" customFormat="1" ht="33" customHeight="1" x14ac:dyDescent="0.4">
      <c r="A84" s="109" t="s">
        <v>132</v>
      </c>
      <c r="B84" s="78" t="s">
        <v>170</v>
      </c>
      <c r="C84" s="68">
        <f>C85+C86+C87+C88</f>
        <v>160423</v>
      </c>
      <c r="D84" s="68">
        <f>D85+D86+D87+D88</f>
        <v>160423</v>
      </c>
      <c r="E84" s="68" t="str">
        <f t="shared" ref="E84:E95" si="2">IF(C84=D84,"-",D84-C84)</f>
        <v>-</v>
      </c>
      <c r="F84" s="69">
        <f t="shared" ref="F84:F95" si="3">IF(C84=0,"-",D84/C84)</f>
        <v>1</v>
      </c>
      <c r="I84" s="89"/>
    </row>
    <row r="85" spans="1:9" ht="47.25" customHeight="1" x14ac:dyDescent="0.4">
      <c r="A85" s="101" t="s">
        <v>99</v>
      </c>
      <c r="B85" s="24" t="s">
        <v>112</v>
      </c>
      <c r="C85" s="7">
        <f>CENTRALA!C63+'Razem OW'!C63</f>
        <v>1592</v>
      </c>
      <c r="D85" s="7">
        <f>CENTRALA!D63+'Razem OW'!D63</f>
        <v>1592</v>
      </c>
      <c r="E85" s="7" t="str">
        <f t="shared" si="2"/>
        <v>-</v>
      </c>
      <c r="F85" s="42">
        <f t="shared" si="3"/>
        <v>1</v>
      </c>
      <c r="I85" s="89"/>
    </row>
    <row r="86" spans="1:9" ht="33.75" customHeight="1" x14ac:dyDescent="0.4">
      <c r="A86" s="101" t="s">
        <v>28</v>
      </c>
      <c r="B86" s="24" t="s">
        <v>53</v>
      </c>
      <c r="C86" s="7">
        <f>CENTRALA!C64+'Razem OW'!C64</f>
        <v>122128</v>
      </c>
      <c r="D86" s="7">
        <f>CENTRALA!D64+'Razem OW'!D64</f>
        <v>122128</v>
      </c>
      <c r="E86" s="7" t="str">
        <f t="shared" si="2"/>
        <v>-</v>
      </c>
      <c r="F86" s="42">
        <f t="shared" si="3"/>
        <v>1</v>
      </c>
      <c r="I86" s="89"/>
    </row>
    <row r="87" spans="1:9" ht="30" customHeight="1" x14ac:dyDescent="0.4">
      <c r="A87" s="101" t="s">
        <v>29</v>
      </c>
      <c r="B87" s="24" t="s">
        <v>101</v>
      </c>
      <c r="C87" s="7">
        <f>CENTRALA!C65+'Razem OW'!C65</f>
        <v>0</v>
      </c>
      <c r="D87" s="7">
        <f>CENTRALA!D65+'Razem OW'!D65</f>
        <v>0</v>
      </c>
      <c r="E87" s="7" t="str">
        <f t="shared" si="2"/>
        <v>-</v>
      </c>
      <c r="F87" s="42" t="str">
        <f t="shared" si="3"/>
        <v>-</v>
      </c>
      <c r="I87" s="89"/>
    </row>
    <row r="88" spans="1:9" ht="30" customHeight="1" x14ac:dyDescent="0.4">
      <c r="A88" s="101" t="s">
        <v>100</v>
      </c>
      <c r="B88" s="25" t="s">
        <v>102</v>
      </c>
      <c r="C88" s="7">
        <f>CENTRALA!C66+'Razem OW'!C66</f>
        <v>36703</v>
      </c>
      <c r="D88" s="7">
        <f>CENTRALA!D66+'Razem OW'!D66</f>
        <v>36703</v>
      </c>
      <c r="E88" s="7" t="str">
        <f t="shared" si="2"/>
        <v>-</v>
      </c>
      <c r="F88" s="42">
        <f t="shared" si="3"/>
        <v>1</v>
      </c>
      <c r="I88" s="89"/>
    </row>
    <row r="89" spans="1:9" s="10" customFormat="1" ht="33" customHeight="1" x14ac:dyDescent="0.4">
      <c r="A89" s="109" t="s">
        <v>133</v>
      </c>
      <c r="B89" s="78" t="s">
        <v>171</v>
      </c>
      <c r="C89" s="68">
        <f>C90+C91</f>
        <v>42027</v>
      </c>
      <c r="D89" s="68">
        <f>D90+D91</f>
        <v>42027</v>
      </c>
      <c r="E89" s="68" t="str">
        <f t="shared" si="2"/>
        <v>-</v>
      </c>
      <c r="F89" s="69">
        <f t="shared" si="3"/>
        <v>1</v>
      </c>
      <c r="I89" s="89"/>
    </row>
    <row r="90" spans="1:9" ht="30" customHeight="1" x14ac:dyDescent="0.4">
      <c r="A90" s="101" t="s">
        <v>103</v>
      </c>
      <c r="B90" s="24" t="s">
        <v>104</v>
      </c>
      <c r="C90" s="7">
        <f>IFERROR(VLOOKUP(A90,[4]NFZ!$A$7:$D$100,4,FALSE),0)</f>
        <v>36161</v>
      </c>
      <c r="D90" s="7">
        <f t="shared" ref="D90:D91" si="4">C90</f>
        <v>36161</v>
      </c>
      <c r="E90" s="7" t="str">
        <f t="shared" si="2"/>
        <v>-</v>
      </c>
      <c r="F90" s="42">
        <f t="shared" si="3"/>
        <v>1</v>
      </c>
      <c r="I90" s="89"/>
    </row>
    <row r="91" spans="1:9" ht="30" customHeight="1" x14ac:dyDescent="0.4">
      <c r="A91" s="101" t="s">
        <v>105</v>
      </c>
      <c r="B91" s="25" t="s">
        <v>106</v>
      </c>
      <c r="C91" s="7">
        <f>IFERROR(VLOOKUP(A91,[4]NFZ!$A$7:$D$100,4,FALSE),0)</f>
        <v>5866</v>
      </c>
      <c r="D91" s="7">
        <f t="shared" si="4"/>
        <v>5866</v>
      </c>
      <c r="E91" s="7" t="str">
        <f t="shared" si="2"/>
        <v>-</v>
      </c>
      <c r="F91" s="42">
        <f t="shared" si="3"/>
        <v>1</v>
      </c>
      <c r="I91" s="89"/>
    </row>
    <row r="92" spans="1:9" s="10" customFormat="1" ht="39.75" customHeight="1" x14ac:dyDescent="0.4">
      <c r="A92" s="109" t="s">
        <v>134</v>
      </c>
      <c r="B92" s="78" t="s">
        <v>113</v>
      </c>
      <c r="C92" s="68">
        <f>CENTRALA!C67+'Razem OW'!C67</f>
        <v>41438</v>
      </c>
      <c r="D92" s="68">
        <f>CENTRALA!D67+'Razem OW'!D67</f>
        <v>41438</v>
      </c>
      <c r="E92" s="68" t="str">
        <f t="shared" si="2"/>
        <v>-</v>
      </c>
      <c r="F92" s="69">
        <f t="shared" si="3"/>
        <v>1</v>
      </c>
      <c r="I92" s="89"/>
    </row>
    <row r="93" spans="1:9" s="10" customFormat="1" ht="64.5" customHeight="1" x14ac:dyDescent="0.4">
      <c r="A93" s="110" t="s">
        <v>135</v>
      </c>
      <c r="B93" s="61" t="s">
        <v>188</v>
      </c>
      <c r="C93" s="58">
        <f>C61-C62+C83-C84+C89-C92</f>
        <v>-680000</v>
      </c>
      <c r="D93" s="58">
        <f>D61-D62+D83-D84+D89-D92</f>
        <v>-680000</v>
      </c>
      <c r="E93" s="58" t="str">
        <f t="shared" si="2"/>
        <v>-</v>
      </c>
      <c r="F93" s="60">
        <f t="shared" si="3"/>
        <v>1</v>
      </c>
      <c r="I93" s="113" t="e">
        <f>E93/'Razem OW'!C6</f>
        <v>#VALUE!</v>
      </c>
    </row>
    <row r="94" spans="1:9" s="10" customFormat="1" ht="33" customHeight="1" x14ac:dyDescent="0.4">
      <c r="A94" s="100" t="s">
        <v>136</v>
      </c>
      <c r="B94" s="79" t="s">
        <v>190</v>
      </c>
      <c r="C94" s="80">
        <f>C6+C12+C20+C21+C22+C23+C83+C89-C18</f>
        <v>88828792</v>
      </c>
      <c r="D94" s="80">
        <f>D6+D12+D20+D21+D22+D23+D83+D89-D18</f>
        <v>92993835</v>
      </c>
      <c r="E94" s="80">
        <f t="shared" si="2"/>
        <v>4165043</v>
      </c>
      <c r="F94" s="81">
        <f t="shared" si="3"/>
        <v>1.0468999999999999</v>
      </c>
      <c r="I94" s="89"/>
    </row>
    <row r="95" spans="1:9" s="10" customFormat="1" ht="33" customHeight="1" x14ac:dyDescent="0.4">
      <c r="A95" s="109" t="s">
        <v>137</v>
      </c>
      <c r="B95" s="82" t="s">
        <v>191</v>
      </c>
      <c r="C95" s="80">
        <f>C9+C15+C25+C26+C56+C57+C58+C59+C62+C84+C92</f>
        <v>89508792</v>
      </c>
      <c r="D95" s="80">
        <f>D9+D15+D25+D26+D56+D57+D58+D59+D62+D84+D92</f>
        <v>93673835</v>
      </c>
      <c r="E95" s="80">
        <f t="shared" si="2"/>
        <v>4165043</v>
      </c>
      <c r="F95" s="81">
        <f t="shared" si="3"/>
        <v>1.0465</v>
      </c>
      <c r="I95" s="89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  <row r="106" spans="3:3" ht="26.25" x14ac:dyDescent="0.2">
      <c r="C106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fitToHeight="2" orientation="portrait" r:id="rId1"/>
  <headerFooter alignWithMargins="0">
    <oddFooter>&amp;R&amp;20&amp;P</oddFooter>
  </headerFooter>
  <rowBreaks count="1" manualBreakCount="1">
    <brk id="6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00B050"/>
  </sheetPr>
  <dimension ref="A1:F67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65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12359296</v>
      </c>
      <c r="D6" s="83">
        <f>D7+D8+D9+D14+D15+D16+D17+D18+D19+D20+D21+D22+D23+D24+D28+D29+D31+D32+D33+D34+D35</f>
        <v>12964130</v>
      </c>
      <c r="E6" s="68">
        <f>IF(C6=D6,"-",D6-C6)</f>
        <v>604834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IFERROR(VLOOKUP(A7,[4]Mazowiecki!$A$7:$D$100,4,FALSE),0)</f>
        <v>1661712</v>
      </c>
      <c r="D7" s="13">
        <f>C7+154207</f>
        <v>1815919</v>
      </c>
      <c r="E7" s="38">
        <f t="shared" ref="E7:E67" si="0">IF(C7=D7,"-",D7-C7)</f>
        <v>154207</v>
      </c>
      <c r="F7" s="39">
        <f t="shared" ref="F7:F67" si="1">IF(C7=0,"-",D7/C7)</f>
        <v>1.0928</v>
      </c>
    </row>
    <row r="8" spans="1:6" ht="33" customHeight="1" x14ac:dyDescent="0.2">
      <c r="A8" s="92" t="s">
        <v>2</v>
      </c>
      <c r="B8" s="14" t="s">
        <v>117</v>
      </c>
      <c r="C8" s="31">
        <f>IFERROR(VLOOKUP(A8,[4]Mazowiecki!$A$7:$D$100,4,FALSE),0)</f>
        <v>643392</v>
      </c>
      <c r="D8" s="13">
        <f>C8+5729</f>
        <v>649121</v>
      </c>
      <c r="E8" s="38">
        <f t="shared" si="0"/>
        <v>5729</v>
      </c>
      <c r="F8" s="39">
        <f t="shared" si="1"/>
        <v>1.0088999999999999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IFERROR(VLOOKUP(A9,[4]Mazowiecki!$A$7:$D$100,4,FALSE),0)</f>
        <v>6777313</v>
      </c>
      <c r="D9" s="13">
        <f>C9+383935-13236-3395</f>
        <v>7144617</v>
      </c>
      <c r="E9" s="38">
        <f t="shared" si="0"/>
        <v>367304</v>
      </c>
      <c r="F9" s="39">
        <f t="shared" si="1"/>
        <v>1.0542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IFERROR(VLOOKUP(A10,[4]Mazowiecki!$A$7:$D$100,4,FALSE),0)</f>
        <v>641767</v>
      </c>
      <c r="D10" s="13">
        <f>C10+14784-13236</f>
        <v>643315</v>
      </c>
      <c r="E10" s="38">
        <f t="shared" si="0"/>
        <v>1548</v>
      </c>
      <c r="F10" s="39">
        <f t="shared" si="1"/>
        <v>1.0024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IFERROR(VLOOKUP(A11,[4]Mazowiecki!$A$7:$D$100,4,FALSE),0)</f>
        <v>585807</v>
      </c>
      <c r="D11" s="13">
        <f>C11+13236-13236</f>
        <v>585807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IFERROR(VLOOKUP(A12,[4]Mazowiecki!$A$7:$D$100,4,FALSE),0)</f>
        <v>250498</v>
      </c>
      <c r="D12" s="13">
        <f>C12+4979-3395</f>
        <v>252082</v>
      </c>
      <c r="E12" s="38">
        <f t="shared" si="0"/>
        <v>1584</v>
      </c>
      <c r="F12" s="39">
        <f t="shared" si="1"/>
        <v>1.0063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IFERROR(VLOOKUP(A13,[4]Mazowiecki!$A$7:$D$100,4,FALSE),0)</f>
        <v>119940</v>
      </c>
      <c r="D13" s="13">
        <f>C13+3395-3395</f>
        <v>119940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IFERROR(VLOOKUP(A14,[4]Mazowiecki!$A$7:$D$100,4,FALSE),0)</f>
        <v>410046</v>
      </c>
      <c r="D14" s="13">
        <f>C14+25712</f>
        <v>435758</v>
      </c>
      <c r="E14" s="38">
        <f t="shared" si="0"/>
        <v>25712</v>
      </c>
      <c r="F14" s="39">
        <f t="shared" si="1"/>
        <v>1.0627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IFERROR(VLOOKUP(A15,[4]Mazowiecki!$A$7:$D$100,4,FALSE),0)</f>
        <v>486100</v>
      </c>
      <c r="D15" s="13">
        <f>C15+4658</f>
        <v>490758</v>
      </c>
      <c r="E15" s="38">
        <f t="shared" si="0"/>
        <v>4658</v>
      </c>
      <c r="F15" s="39">
        <f t="shared" si="1"/>
        <v>1.0096000000000001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IFERROR(VLOOKUP(A16,[4]Mazowiecki!$A$7:$D$100,4,FALSE),0)</f>
        <v>223225</v>
      </c>
      <c r="D16" s="13">
        <f>C16+15921</f>
        <v>239146</v>
      </c>
      <c r="E16" s="38">
        <f t="shared" si="0"/>
        <v>15921</v>
      </c>
      <c r="F16" s="39">
        <f t="shared" si="1"/>
        <v>1.0712999999999999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IFERROR(VLOOKUP(A17,[4]Mazowiecki!$A$7:$D$100,4,FALSE),0)</f>
        <v>92498</v>
      </c>
      <c r="D17" s="13">
        <f>C17+787</f>
        <v>93285</v>
      </c>
      <c r="E17" s="38">
        <f t="shared" si="0"/>
        <v>787</v>
      </c>
      <c r="F17" s="39">
        <f t="shared" si="1"/>
        <v>1.0085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IFERROR(VLOOKUP(A18,[4]Mazowiecki!$A$7:$D$100,4,FALSE),0)</f>
        <v>237040</v>
      </c>
      <c r="D18" s="13">
        <f>C18+2149</f>
        <v>239189</v>
      </c>
      <c r="E18" s="38">
        <f t="shared" si="0"/>
        <v>2149</v>
      </c>
      <c r="F18" s="39">
        <f t="shared" si="1"/>
        <v>1.0091000000000001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IFERROR(VLOOKUP(A19,[4]Mazowiecki!$A$7:$D$100,4,FALSE),0)</f>
        <v>110000</v>
      </c>
      <c r="D19" s="13">
        <f t="shared" ref="D19:D34" si="2">C19</f>
        <v>110000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IFERROR(VLOOKUP(A20,[4]Mazowiecki!$A$7:$D$100,4,FALSE),0)</f>
        <v>8675</v>
      </c>
      <c r="D20" s="13">
        <f t="shared" si="2"/>
        <v>8675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IFERROR(VLOOKUP(A21,[4]Mazowiecki!$A$7:$D$100,4,FALSE),0)</f>
        <v>26438</v>
      </c>
      <c r="D21" s="13">
        <f>C21+388</f>
        <v>26826</v>
      </c>
      <c r="E21" s="38">
        <f t="shared" si="0"/>
        <v>388</v>
      </c>
      <c r="F21" s="39">
        <f t="shared" si="1"/>
        <v>1.0146999999999999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IFERROR(VLOOKUP(A22,[4]Mazowiecki!$A$7:$D$100,4,FALSE),0)</f>
        <v>224693</v>
      </c>
      <c r="D22" s="13">
        <f>C22+2182</f>
        <v>226875</v>
      </c>
      <c r="E22" s="38">
        <f t="shared" si="0"/>
        <v>2182</v>
      </c>
      <c r="F22" s="39">
        <f t="shared" si="1"/>
        <v>1.0097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IFERROR(VLOOKUP(A23,[4]Mazowiecki!$A$7:$D$100,4,FALSE),0)</f>
        <v>185000</v>
      </c>
      <c r="D23" s="13">
        <f t="shared" si="2"/>
        <v>185000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IFERROR(VLOOKUP(A24,[4]Mazowiecki!$A$7:$D$100,4,FALSE),0)</f>
        <v>1147984</v>
      </c>
      <c r="D24" s="13">
        <f>C24+8294-8294</f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IFERROR(VLOOKUP(A25,[4]Mazowiecki!$A$7:$D$100,4,FALSE),0)</f>
        <v>1140378</v>
      </c>
      <c r="D25" s="13">
        <f>C25+8294-8294</f>
        <v>1140378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IFERROR(VLOOKUP(A26,[4]Mazowiecki!$A$7:$D$100,4,FALSE),0)</f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IFERROR(VLOOKUP(A27,[4]Mazowiecki!$A$7:$D$100,4,FALSE),0)</f>
        <v>4548</v>
      </c>
      <c r="D27" s="13">
        <f t="shared" si="2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IFERROR(VLOOKUP(A28,[4]Mazowiecki!$A$7:$D$100,4,FALSE),0)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IFERROR(VLOOKUP(A29,[4]Mazowiecki!$A$7:$D$100,4,FALSE),0)</f>
        <v>0</v>
      </c>
      <c r="D29" s="13">
        <f>C29+8294+13236+3395</f>
        <v>24925</v>
      </c>
      <c r="E29" s="38">
        <f t="shared" si="0"/>
        <v>24925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IFERROR(VLOOKUP(A30,[4]Mazowiecki!$A$7:$D$100,4,FALSE),0)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IFERROR(VLOOKUP(A31,[4]Mazowiecki!$A$7:$D$100,4,FALSE),0)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IFERROR(VLOOKUP(A32,[4]Mazowiecki!$A$7:$D$100,4,FALSE),0)</f>
        <v>28290</v>
      </c>
      <c r="D32" s="13">
        <f t="shared" si="2"/>
        <v>28290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IFERROR(VLOOKUP(A33,[4]Mazowiecki!$A$7:$D$100,4,FALSE),0)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IFERROR(VLOOKUP(A34,[4]Mazowiecki!$A$7:$D$100,4,FALSE),0)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IFERROR(VLOOKUP(A35,[4]Mazowiecki!$A$7:$D$100,4,FALSE),0)</f>
        <v>95890</v>
      </c>
      <c r="D35" s="13">
        <f>C35+872</f>
        <v>96762</v>
      </c>
      <c r="E35" s="38">
        <f>IF(C35=D35,"-",D35-C35)</f>
        <v>872</v>
      </c>
      <c r="F35" s="39">
        <f>IF(C35=0,"-",D35/C35)</f>
        <v>1.0091000000000001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IFERROR(VLOOKUP(A36,[4]Mazowiecki!$A$7:$D$100,4,FALSE),0)</f>
        <v>724</v>
      </c>
      <c r="D36" s="37">
        <f>C36</f>
        <v>724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IFERROR(VLOOKUP(A37,[4]Mazowiecki!$A$7:$D$100,4,FALSE),0)</f>
        <v>269607</v>
      </c>
      <c r="D37" s="37">
        <f>C37</f>
        <v>269607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IFERROR(VLOOKUP(A38,[4]Mazowiecki!$A$7:$D$100,4,FALSE),0)</f>
        <v>102864</v>
      </c>
      <c r="D38" s="37">
        <f>C38</f>
        <v>102864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IFERROR(VLOOKUP(A39,[4]Mazowiecki!$A$7:$D$100,4,FALSE),0)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1853731</v>
      </c>
      <c r="D40" s="32">
        <f>D11+D13+D24+D30</f>
        <v>1853731</v>
      </c>
      <c r="E40" s="7" t="str">
        <f>IF(C40=D40,"-",D40-C40)</f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75901</v>
      </c>
      <c r="D41" s="71">
        <f>D42+D43+D44+D52+D54+D60+D61+D59</f>
        <v>76693</v>
      </c>
      <c r="E41" s="68">
        <f t="shared" si="0"/>
        <v>792</v>
      </c>
      <c r="F41" s="86">
        <f t="shared" si="1"/>
        <v>1.0104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IFERROR(VLOOKUP(A42,[4]Mazowiecki!$A$7:$D$100,4,FALSE),0)</f>
        <v>2311</v>
      </c>
      <c r="D42" s="33">
        <f>C42+50</f>
        <v>2361</v>
      </c>
      <c r="E42" s="38">
        <f t="shared" si="0"/>
        <v>50</v>
      </c>
      <c r="F42" s="39">
        <f t="shared" si="1"/>
        <v>1.0216000000000001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IFERROR(VLOOKUP(A43,[4]Mazowiecki!$A$7:$D$100,4,FALSE),0)</f>
        <v>12722</v>
      </c>
      <c r="D43" s="33">
        <f>C43+31</f>
        <v>12753</v>
      </c>
      <c r="E43" s="38">
        <f t="shared" si="0"/>
        <v>31</v>
      </c>
      <c r="F43" s="39">
        <f t="shared" si="1"/>
        <v>1.0024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251</v>
      </c>
      <c r="D44" s="33">
        <f>D45+D47+D48+D49+D50+D51</f>
        <v>252</v>
      </c>
      <c r="E44" s="38">
        <f t="shared" si="0"/>
        <v>1</v>
      </c>
      <c r="F44" s="39">
        <f t="shared" si="1"/>
        <v>1.004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IFERROR(VLOOKUP(A45,[4]Mazowiecki!$A$7:$D$100,4,FALSE),0)</f>
        <v>20</v>
      </c>
      <c r="D45" s="33">
        <f t="shared" ref="D45:D60" si="3">C45</f>
        <v>20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IFERROR(VLOOKUP(A46,[4]Mazowiecki!$A$7:$D$100,4,FALSE),0)</f>
        <v>20</v>
      </c>
      <c r="D46" s="33">
        <f t="shared" si="3"/>
        <v>20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IFERROR(VLOOKUP(A47,[4]Mazowiecki!$A$7:$D$100,4,FALSE),0)</f>
        <v>12</v>
      </c>
      <c r="D47" s="33">
        <f t="shared" si="3"/>
        <v>12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IFERROR(VLOOKUP(A48,[4]Mazowiecki!$A$7:$D$100,4,FALSE),0)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IFERROR(VLOOKUP(A49,[4]Mazowiecki!$A$7:$D$100,4,FALSE),0)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IFERROR(VLOOKUP(A50,[4]Mazowiecki!$A$7:$D$100,4,FALSE),0)</f>
        <v>208</v>
      </c>
      <c r="D50" s="33">
        <f>C50+1</f>
        <v>209</v>
      </c>
      <c r="E50" s="38">
        <f t="shared" si="0"/>
        <v>1</v>
      </c>
      <c r="F50" s="39">
        <f t="shared" si="1"/>
        <v>1.0047999999999999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IFERROR(VLOOKUP(A51,[4]Mazowiecki!$A$7:$D$100,4,FALSE),0)</f>
        <v>11</v>
      </c>
      <c r="D51" s="33">
        <f t="shared" si="3"/>
        <v>11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IFERROR(VLOOKUP(A52,[4]Mazowiecki!$A$7:$D$100,4,FALSE),0)</f>
        <v>47353</v>
      </c>
      <c r="D52" s="33">
        <f>C52+587</f>
        <v>47940</v>
      </c>
      <c r="E52" s="38">
        <f t="shared" si="0"/>
        <v>587</v>
      </c>
      <c r="F52" s="39">
        <f t="shared" si="1"/>
        <v>1.0124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IFERROR(VLOOKUP(A53,[4]Mazowiecki!$A$7:$D$100,4,FALSE),0)</f>
        <v>71</v>
      </c>
      <c r="D53" s="33">
        <f t="shared" si="3"/>
        <v>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10567</v>
      </c>
      <c r="D54" s="29">
        <f>D55+D56+D57+D58</f>
        <v>10688</v>
      </c>
      <c r="E54" s="38">
        <f t="shared" si="0"/>
        <v>121</v>
      </c>
      <c r="F54" s="39">
        <f t="shared" si="1"/>
        <v>1.0115000000000001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IFERROR(VLOOKUP(A55,[4]Mazowiecki!$A$7:$D$100,4,FALSE),0)</f>
        <v>8130</v>
      </c>
      <c r="D55" s="33">
        <f>C55+95</f>
        <v>8225</v>
      </c>
      <c r="E55" s="38">
        <f t="shared" si="0"/>
        <v>95</v>
      </c>
      <c r="F55" s="39">
        <f t="shared" si="1"/>
        <v>1.0117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IFERROR(VLOOKUP(A56,[4]Mazowiecki!$A$7:$D$100,4,FALSE),0)</f>
        <v>1160</v>
      </c>
      <c r="D56" s="33">
        <f>C56+10</f>
        <v>1170</v>
      </c>
      <c r="E56" s="38">
        <f t="shared" si="0"/>
        <v>10</v>
      </c>
      <c r="F56" s="39">
        <f t="shared" si="1"/>
        <v>1.0085999999999999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IFERROR(VLOOKUP(A57,[4]Mazowiecki!$A$7:$D$100,4,FALSE),0)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IFERROR(VLOOKUP(A58,[4]Mazowiecki!$A$7:$D$100,4,FALSE),0)</f>
        <v>1277</v>
      </c>
      <c r="D58" s="33">
        <f>C58+16</f>
        <v>1293</v>
      </c>
      <c r="E58" s="38">
        <f t="shared" si="0"/>
        <v>16</v>
      </c>
      <c r="F58" s="39">
        <f t="shared" si="1"/>
        <v>1.0125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IFERROR(VLOOKUP(A59,[4]Mazowiecki!$A$7:$D$100,4,FALSE),0)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IFERROR(VLOOKUP(A60,[4]Mazowiecki!$A$7:$D$100,4,FALSE),0)</f>
        <v>2482</v>
      </c>
      <c r="D60" s="33">
        <f t="shared" si="3"/>
        <v>2482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IFERROR(VLOOKUP(A61,[4]Mazowiecki!$A$7:$D$100,4,FALSE),0)</f>
        <v>215</v>
      </c>
      <c r="D61" s="33">
        <f>C61+2</f>
        <v>217</v>
      </c>
      <c r="E61" s="38">
        <f t="shared" si="0"/>
        <v>2</v>
      </c>
      <c r="F61" s="39">
        <f t="shared" si="1"/>
        <v>1.0093000000000001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16940</v>
      </c>
      <c r="D62" s="87">
        <f>D63+D64+D65+D66</f>
        <v>16940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IFERROR(VLOOKUP(A63,[4]Mazowiecki!$A$7:$D$100,4,FALSE),0)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IFERROR(VLOOKUP(A64,[4]Mazowiecki!$A$7:$D$100,4,FALSE),0)</f>
        <v>9671</v>
      </c>
      <c r="D64" s="33">
        <f>C64</f>
        <v>9671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IFERROR(VLOOKUP(A65,[4]Mazowiecki!$A$7:$D$100,4,FALSE),0)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IFERROR(VLOOKUP(A66,[4]Mazowiecki!$A$7:$D$100,4,FALSE),0)</f>
        <v>7269</v>
      </c>
      <c r="D66" s="33">
        <f>C66</f>
        <v>7269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IFERROR(VLOOKUP(A67,[4]Mazowiecki!$A$7:$D$100,4,FALSE),0)</f>
        <v>5617</v>
      </c>
      <c r="D67" s="87">
        <f>C67</f>
        <v>5617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19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66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2013932</v>
      </c>
      <c r="D6" s="83">
        <f>D7+D8+D9+D14+D15+D16+D17+D18+D19+D20+D21+D22+D23+D24+D28+D29+D31+D32+D33+D34+D35</f>
        <v>2113504</v>
      </c>
      <c r="E6" s="68">
        <f>IF(C6=D6,"-",D6-C6)</f>
        <v>99572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IFERROR(VLOOKUP(A7,[4]Opolski!$A$7:$D$100,4,FALSE),0)</f>
        <v>269807</v>
      </c>
      <c r="D7" s="13">
        <f>C7+20732</f>
        <v>290539</v>
      </c>
      <c r="E7" s="38">
        <f t="shared" ref="E7:E67" si="0">IF(C7=D7,"-",D7-C7)</f>
        <v>20732</v>
      </c>
      <c r="F7" s="39">
        <f t="shared" ref="F7:F67" si="1">IF(C7=0,"-",D7/C7)</f>
        <v>1.0768</v>
      </c>
    </row>
    <row r="8" spans="1:6" ht="33" customHeight="1" x14ac:dyDescent="0.2">
      <c r="A8" s="92" t="s">
        <v>2</v>
      </c>
      <c r="B8" s="14" t="s">
        <v>117</v>
      </c>
      <c r="C8" s="31">
        <f>IFERROR(VLOOKUP(A8,[4]Opolski!$A$7:$D$100,4,FALSE),0)</f>
        <v>97173</v>
      </c>
      <c r="D8" s="13">
        <f>C8+5075</f>
        <v>102248</v>
      </c>
      <c r="E8" s="38">
        <f t="shared" si="0"/>
        <v>5075</v>
      </c>
      <c r="F8" s="39">
        <f t="shared" si="1"/>
        <v>1.0522</v>
      </c>
    </row>
    <row r="9" spans="1:6" ht="33" customHeight="1" x14ac:dyDescent="0.2">
      <c r="A9" s="92" t="s">
        <v>3</v>
      </c>
      <c r="B9" s="14" t="s">
        <v>114</v>
      </c>
      <c r="C9" s="31">
        <f>IFERROR(VLOOKUP(A9,[4]Opolski!$A$7:$D$100,4,FALSE),0)</f>
        <v>1050213</v>
      </c>
      <c r="D9" s="13">
        <f>C9+48674-1985</f>
        <v>1096902</v>
      </c>
      <c r="E9" s="38">
        <f t="shared" si="0"/>
        <v>46689</v>
      </c>
      <c r="F9" s="39">
        <f t="shared" si="1"/>
        <v>1.0445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IFERROR(VLOOKUP(A10,[4]Opolski!$A$7:$D$100,4,FALSE),0)</f>
        <v>83150</v>
      </c>
      <c r="D10" s="13">
        <f>C10+2499-1985</f>
        <v>83664</v>
      </c>
      <c r="E10" s="38">
        <f t="shared" si="0"/>
        <v>514</v>
      </c>
      <c r="F10" s="39">
        <f t="shared" si="1"/>
        <v>1.0062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IFERROR(VLOOKUP(A11,[4]Opolski!$A$7:$D$100,4,FALSE),0)</f>
        <v>75278</v>
      </c>
      <c r="D11" s="13">
        <f>C11+1985-1985</f>
        <v>75278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IFERROR(VLOOKUP(A12,[4]Opolski!$A$7:$D$100,4,FALSE),0)</f>
        <v>31042</v>
      </c>
      <c r="D12" s="13">
        <f>C12+170</f>
        <v>31212</v>
      </c>
      <c r="E12" s="38">
        <f t="shared" si="0"/>
        <v>170</v>
      </c>
      <c r="F12" s="39">
        <f t="shared" si="1"/>
        <v>1.0055000000000001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IFERROR(VLOOKUP(A13,[4]Opolski!$A$7:$D$100,4,FALSE),0)</f>
        <v>14763</v>
      </c>
      <c r="D13" s="13">
        <f t="shared" ref="D13:D34" si="2">C13</f>
        <v>14763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IFERROR(VLOOKUP(A14,[4]Opolski!$A$7:$D$100,4,FALSE),0)</f>
        <v>73124</v>
      </c>
      <c r="D14" s="13">
        <f>C14+1372</f>
        <v>74496</v>
      </c>
      <c r="E14" s="38">
        <f t="shared" si="0"/>
        <v>1372</v>
      </c>
      <c r="F14" s="39">
        <f t="shared" si="1"/>
        <v>1.0187999999999999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IFERROR(VLOOKUP(A15,[4]Opolski!$A$7:$D$100,4,FALSE),0)</f>
        <v>59980</v>
      </c>
      <c r="D15" s="13">
        <f>C15+9239</f>
        <v>69219</v>
      </c>
      <c r="E15" s="38">
        <f t="shared" si="0"/>
        <v>9239</v>
      </c>
      <c r="F15" s="39">
        <f t="shared" si="1"/>
        <v>1.1539999999999999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IFERROR(VLOOKUP(A16,[4]Opolski!$A$7:$D$100,4,FALSE),0)</f>
        <v>68235</v>
      </c>
      <c r="D16" s="13">
        <f>C16+5506</f>
        <v>73741</v>
      </c>
      <c r="E16" s="38">
        <f t="shared" si="0"/>
        <v>5506</v>
      </c>
      <c r="F16" s="39">
        <f t="shared" si="1"/>
        <v>1.0807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IFERROR(VLOOKUP(A17,[4]Opolski!$A$7:$D$100,4,FALSE),0)</f>
        <v>23902</v>
      </c>
      <c r="D17" s="13">
        <f>C17+2511</f>
        <v>26413</v>
      </c>
      <c r="E17" s="38">
        <f t="shared" si="0"/>
        <v>2511</v>
      </c>
      <c r="F17" s="39">
        <f t="shared" si="1"/>
        <v>1.1051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IFERROR(VLOOKUP(A18,[4]Opolski!$A$7:$D$100,4,FALSE),0)</f>
        <v>41746</v>
      </c>
      <c r="D18" s="13">
        <f>C18+1092</f>
        <v>42838</v>
      </c>
      <c r="E18" s="38">
        <f t="shared" si="0"/>
        <v>1092</v>
      </c>
      <c r="F18" s="39">
        <f t="shared" si="1"/>
        <v>1.0262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IFERROR(VLOOKUP(A19,[4]Opolski!$A$7:$D$100,4,FALSE),0)</f>
        <v>13500</v>
      </c>
      <c r="D19" s="13">
        <f t="shared" si="2"/>
        <v>13500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IFERROR(VLOOKUP(A20,[4]Opolski!$A$7:$D$100,4,FALSE),0)</f>
        <v>1360</v>
      </c>
      <c r="D20" s="13">
        <f t="shared" si="2"/>
        <v>1360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IFERROR(VLOOKUP(A21,[4]Opolski!$A$7:$D$100,4,FALSE),0)</f>
        <v>4557</v>
      </c>
      <c r="D21" s="13">
        <f>C21+624</f>
        <v>5181</v>
      </c>
      <c r="E21" s="38">
        <f t="shared" si="0"/>
        <v>624</v>
      </c>
      <c r="F21" s="39">
        <f t="shared" si="1"/>
        <v>1.1369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IFERROR(VLOOKUP(A22,[4]Opolski!$A$7:$D$100,4,FALSE),0)</f>
        <v>48553</v>
      </c>
      <c r="D22" s="13">
        <f>C22+2671</f>
        <v>51224</v>
      </c>
      <c r="E22" s="38">
        <f t="shared" si="0"/>
        <v>2671</v>
      </c>
      <c r="F22" s="39">
        <f t="shared" si="1"/>
        <v>1.0549999999999999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IFERROR(VLOOKUP(A23,[4]Opolski!$A$7:$D$100,4,FALSE),0)</f>
        <v>30000</v>
      </c>
      <c r="D23" s="13">
        <f>C23+2076</f>
        <v>32076</v>
      </c>
      <c r="E23" s="38">
        <f t="shared" si="0"/>
        <v>2076</v>
      </c>
      <c r="F23" s="39">
        <f t="shared" si="1"/>
        <v>1.0691999999999999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IFERROR(VLOOKUP(A24,[4]Opolski!$A$7:$D$100,4,FALSE),0)</f>
        <v>210000</v>
      </c>
      <c r="D24" s="13">
        <f t="shared" si="2"/>
        <v>210000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IFERROR(VLOOKUP(A25,[4]Opolski!$A$7:$D$100,4,FALSE),0)</f>
        <v>209150</v>
      </c>
      <c r="D25" s="13">
        <f t="shared" si="2"/>
        <v>209150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IFERROR(VLOOKUP(A26,[4]Opolski!$A$7:$D$100,4,FALSE),0)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IFERROR(VLOOKUP(A27,[4]Opolski!$A$7:$D$100,4,FALSE),0)</f>
        <v>250</v>
      </c>
      <c r="D27" s="13">
        <f t="shared" si="2"/>
        <v>250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IFERROR(VLOOKUP(A29,[4]Opolski!$A$7:$D$100,4,FALSE),0)</f>
        <v>0</v>
      </c>
      <c r="D29" s="13">
        <f>C29+1985</f>
        <v>1985</v>
      </c>
      <c r="E29" s="38">
        <f t="shared" si="0"/>
        <v>1985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IFERROR(VLOOKUP(A32,[4]Opolski!$A$7:$D$100,4,FALSE),0)</f>
        <v>19682</v>
      </c>
      <c r="D32" s="13">
        <f>C32</f>
        <v>19682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IFERROR(VLOOKUP(A34,[4]Opolski!$A$7:$D$100,4,FALSE),0)</f>
        <v>400</v>
      </c>
      <c r="D34" s="13">
        <f t="shared" si="2"/>
        <v>400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IFERROR(VLOOKUP(A35,[4]Opolski!$A$7:$D$100,4,FALSE),0)</f>
        <v>1700</v>
      </c>
      <c r="D35" s="13">
        <f t="shared" ref="D35" si="3">C35</f>
        <v>1700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IFERROR(VLOOKUP(A36,[4]Opolski!$A$7:$D$100,4,FALSE),0)</f>
        <v>247</v>
      </c>
      <c r="D36" s="37">
        <f>C36</f>
        <v>247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IFERROR(VLOOKUP(A37,[4]Opolski!$A$7:$D$100,4,FALSE),0)</f>
        <v>61002</v>
      </c>
      <c r="D37" s="37">
        <f>C37</f>
        <v>61002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IFERROR(VLOOKUP(A38,[4]Opolski!$A$7:$D$100,4,FALSE),0)</f>
        <v>20015</v>
      </c>
      <c r="D38" s="37">
        <f>C38</f>
        <v>20015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300041</v>
      </c>
      <c r="D40" s="32">
        <f>D11+D13+D24+D30</f>
        <v>300041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18339</v>
      </c>
      <c r="D41" s="71">
        <f>D42+D43+D44+D52+D54+D60+D61+D59</f>
        <v>18727</v>
      </c>
      <c r="E41" s="68">
        <f t="shared" si="0"/>
        <v>388</v>
      </c>
      <c r="F41" s="86">
        <f t="shared" si="1"/>
        <v>1.0212000000000001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IFERROR(VLOOKUP(A42,[4]Opolski!$A$7:$D$100,4,FALSE),0)</f>
        <v>864</v>
      </c>
      <c r="D42" s="33">
        <f>C42+50</f>
        <v>914</v>
      </c>
      <c r="E42" s="38">
        <f t="shared" si="0"/>
        <v>50</v>
      </c>
      <c r="F42" s="39">
        <f t="shared" si="1"/>
        <v>1.0579000000000001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IFERROR(VLOOKUP(A43,[4]Opolski!$A$7:$D$100,4,FALSE),0)</f>
        <v>2592</v>
      </c>
      <c r="D43" s="33">
        <f>C43+31</f>
        <v>2623</v>
      </c>
      <c r="E43" s="38">
        <f t="shared" si="0"/>
        <v>31</v>
      </c>
      <c r="F43" s="39">
        <f t="shared" si="1"/>
        <v>1.012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173</v>
      </c>
      <c r="D44" s="33">
        <f>D45+D47+D48+D49+D50+D51</f>
        <v>174</v>
      </c>
      <c r="E44" s="38">
        <f t="shared" si="0"/>
        <v>1</v>
      </c>
      <c r="F44" s="39">
        <f t="shared" si="1"/>
        <v>1.0058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IFERROR(VLOOKUP(A45,[4]Opolski!$A$7:$D$100,4,FALSE),0)</f>
        <v>0</v>
      </c>
      <c r="D45" s="33">
        <f t="shared" ref="D45:D60" si="4">C45</f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IFERROR(VLOOKUP(A46,[4]Opolski!$A$7:$D$100,4,FALSE),0)</f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IFERROR(VLOOKUP(A47,[4]Opolski!$A$7:$D$100,4,FALSE),0)</f>
        <v>8</v>
      </c>
      <c r="D47" s="33">
        <f t="shared" si="4"/>
        <v>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IFERROR(VLOOKUP(A49,[4]Opolski!$A$7:$D$100,4,FALSE),0)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IFERROR(VLOOKUP(A50,[4]Opolski!$A$7:$D$100,4,FALSE),0)</f>
        <v>159</v>
      </c>
      <c r="D50" s="33">
        <f>C50+1</f>
        <v>160</v>
      </c>
      <c r="E50" s="38">
        <f t="shared" si="0"/>
        <v>1</v>
      </c>
      <c r="F50" s="39">
        <f t="shared" si="1"/>
        <v>1.0063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IFERROR(VLOOKUP(A51,[4]Opolski!$A$7:$D$100,4,FALSE),0)</f>
        <v>6</v>
      </c>
      <c r="D51" s="33">
        <f t="shared" si="4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IFERROR(VLOOKUP(A52,[4]Opolski!$A$7:$D$100,4,FALSE),0)</f>
        <v>10662</v>
      </c>
      <c r="D52" s="33">
        <f>C52+252</f>
        <v>10914</v>
      </c>
      <c r="E52" s="38">
        <f t="shared" si="0"/>
        <v>252</v>
      </c>
      <c r="F52" s="39">
        <f t="shared" si="1"/>
        <v>1.0236000000000001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IFERROR(VLOOKUP(A53,[4]Opolski!$A$7:$D$100,4,FALSE),0)</f>
        <v>31</v>
      </c>
      <c r="D53" s="33">
        <f t="shared" si="4"/>
        <v>31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2382</v>
      </c>
      <c r="D54" s="29">
        <f>D55+D56+D57+D58</f>
        <v>2434</v>
      </c>
      <c r="E54" s="38">
        <f t="shared" si="0"/>
        <v>52</v>
      </c>
      <c r="F54" s="39">
        <f t="shared" si="1"/>
        <v>1.0218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IFERROR(VLOOKUP(A55,[4]Opolski!$A$7:$D$100,4,FALSE),0)</f>
        <v>1828</v>
      </c>
      <c r="D55" s="33">
        <f>C55+41</f>
        <v>1869</v>
      </c>
      <c r="E55" s="38">
        <f t="shared" si="0"/>
        <v>41</v>
      </c>
      <c r="F55" s="39">
        <f t="shared" si="1"/>
        <v>1.0224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IFERROR(VLOOKUP(A56,[4]Opolski!$A$7:$D$100,4,FALSE),0)</f>
        <v>262</v>
      </c>
      <c r="D56" s="33">
        <f>C56+4</f>
        <v>266</v>
      </c>
      <c r="E56" s="38">
        <f t="shared" si="0"/>
        <v>4</v>
      </c>
      <c r="F56" s="39">
        <f t="shared" si="1"/>
        <v>1.0153000000000001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IFERROR(VLOOKUP(A57,[4]Opolski!$A$7:$D$100,4,FALSE),0)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IFERROR(VLOOKUP(A58,[4]Opolski!$A$7:$D$100,4,FALSE),0)</f>
        <v>292</v>
      </c>
      <c r="D58" s="33">
        <f>C58+7</f>
        <v>299</v>
      </c>
      <c r="E58" s="38">
        <f t="shared" si="0"/>
        <v>7</v>
      </c>
      <c r="F58" s="39">
        <f t="shared" si="1"/>
        <v>1.024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IFERROR(VLOOKUP(A59,[4]Opolski!$A$7:$D$100,4,FALSE),0)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IFERROR(VLOOKUP(A60,[4]Opolski!$A$7:$D$100,4,FALSE),0)</f>
        <v>1473</v>
      </c>
      <c r="D60" s="33">
        <f t="shared" si="4"/>
        <v>1473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IFERROR(VLOOKUP(A61,[4]Opolski!$A$7:$D$100,4,FALSE),0)</f>
        <v>193</v>
      </c>
      <c r="D61" s="33">
        <f>C61+2</f>
        <v>195</v>
      </c>
      <c r="E61" s="38">
        <f t="shared" si="0"/>
        <v>2</v>
      </c>
      <c r="F61" s="39">
        <f t="shared" si="1"/>
        <v>1.0104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4725</v>
      </c>
      <c r="D62" s="87">
        <f>D63+D64+D65+D66</f>
        <v>4725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IFERROR(VLOOKUP(A64,[4]Opolski!$A$7:$D$100,4,FALSE),0)</f>
        <v>4217</v>
      </c>
      <c r="D64" s="33">
        <f>C64</f>
        <v>4217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IFERROR(VLOOKUP(A66,[4]Opolski!$A$7:$D$100,4,FALSE),0)</f>
        <v>508</v>
      </c>
      <c r="D66" s="33">
        <f>C66</f>
        <v>508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IFERROR(VLOOKUP(A67,[4]Opolski!$A$7:$D$100,4,FALSE),0)</f>
        <v>1238</v>
      </c>
      <c r="D67" s="87">
        <f>C67</f>
        <v>1238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19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67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4486426</v>
      </c>
      <c r="D6" s="83">
        <f>D7+D8+D9+D14+D15+D16+D17+D18+D19+D20+D21+D22+D23+D24+D28+D29+D31+D32+D33+D34+D35</f>
        <v>4707107</v>
      </c>
      <c r="E6" s="68">
        <f>IF(C6=D6,"-",D6-C6)</f>
        <v>220681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IFERROR(VLOOKUP(A7,[4]Podkarpacki!$A$7:$D$100,4,FALSE),0)</f>
        <v>595336</v>
      </c>
      <c r="D7" s="13">
        <f>C7+67696</f>
        <v>663032</v>
      </c>
      <c r="E7" s="38">
        <f t="shared" ref="E7:E67" si="0">IF(C7=D7,"-",D7-C7)</f>
        <v>67696</v>
      </c>
      <c r="F7" s="39">
        <f t="shared" ref="F7:F67" si="1">IF(C7=0,"-",D7/C7)</f>
        <v>1.1136999999999999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IFERROR(VLOOKUP(A8,[4]Podkarpacki!$A$7:$D$100,4,FALSE),0)</f>
        <v>244582</v>
      </c>
      <c r="D8" s="13">
        <f>C8+7600</f>
        <v>252182</v>
      </c>
      <c r="E8" s="38">
        <f t="shared" si="0"/>
        <v>7600</v>
      </c>
      <c r="F8" s="39">
        <f t="shared" si="1"/>
        <v>1.0310999999999999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IFERROR(VLOOKUP(A9,[4]Podkarpacki!$A$7:$D$100,4,FALSE),0)</f>
        <v>2312451</v>
      </c>
      <c r="D9" s="13">
        <f>C9+95091</f>
        <v>2407542</v>
      </c>
      <c r="E9" s="38">
        <f t="shared" si="0"/>
        <v>95091</v>
      </c>
      <c r="F9" s="39">
        <f t="shared" si="1"/>
        <v>1.0410999999999999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IFERROR(VLOOKUP(A10,[4]Podkarpacki!$A$7:$D$100,4,FALSE),0)</f>
        <v>223272</v>
      </c>
      <c r="D10" s="13">
        <f>C10+1481</f>
        <v>224753</v>
      </c>
      <c r="E10" s="38">
        <f t="shared" si="0"/>
        <v>1481</v>
      </c>
      <c r="F10" s="39">
        <f t="shared" si="1"/>
        <v>1.0065999999999999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IFERROR(VLOOKUP(A11,[4]Podkarpacki!$A$7:$D$100,4,FALSE),0)</f>
        <v>204641</v>
      </c>
      <c r="D11" s="13">
        <f t="shared" ref="D11:D34" si="2">C11</f>
        <v>204641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IFERROR(VLOOKUP(A12,[4]Podkarpacki!$A$7:$D$100,4,FALSE),0)</f>
        <v>87684</v>
      </c>
      <c r="D12" s="13">
        <f>C12+1091</f>
        <v>88775</v>
      </c>
      <c r="E12" s="38">
        <f t="shared" si="0"/>
        <v>1091</v>
      </c>
      <c r="F12" s="39">
        <f t="shared" si="1"/>
        <v>1.0124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IFERROR(VLOOKUP(A13,[4]Podkarpacki!$A$7:$D$100,4,FALSE),0)</f>
        <v>44884</v>
      </c>
      <c r="D13" s="13">
        <f t="shared" si="2"/>
        <v>44884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IFERROR(VLOOKUP(A14,[4]Podkarpacki!$A$7:$D$100,4,FALSE),0)</f>
        <v>125479</v>
      </c>
      <c r="D14" s="13">
        <f>C14+5761</f>
        <v>131240</v>
      </c>
      <c r="E14" s="38">
        <f t="shared" si="0"/>
        <v>5761</v>
      </c>
      <c r="F14" s="39">
        <f t="shared" si="1"/>
        <v>1.0459000000000001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IFERROR(VLOOKUP(A15,[4]Podkarpacki!$A$7:$D$100,4,FALSE),0)</f>
        <v>179476</v>
      </c>
      <c r="D15" s="13">
        <f>C15+20620</f>
        <v>200096</v>
      </c>
      <c r="E15" s="38">
        <f t="shared" si="0"/>
        <v>20620</v>
      </c>
      <c r="F15" s="39">
        <f t="shared" si="1"/>
        <v>1.1149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IFERROR(VLOOKUP(A16,[4]Podkarpacki!$A$7:$D$100,4,FALSE),0)</f>
        <v>142000</v>
      </c>
      <c r="D16" s="13">
        <f>C16+13825</f>
        <v>155825</v>
      </c>
      <c r="E16" s="38">
        <f t="shared" si="0"/>
        <v>13825</v>
      </c>
      <c r="F16" s="39">
        <f t="shared" si="1"/>
        <v>1.0973999999999999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IFERROR(VLOOKUP(A17,[4]Podkarpacki!$A$7:$D$100,4,FALSE),0)</f>
        <v>55203</v>
      </c>
      <c r="D17" s="13">
        <f>C17+2961</f>
        <v>58164</v>
      </c>
      <c r="E17" s="38">
        <f t="shared" si="0"/>
        <v>2961</v>
      </c>
      <c r="F17" s="39">
        <f t="shared" si="1"/>
        <v>1.0536000000000001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IFERROR(VLOOKUP(A18,[4]Podkarpacki!$A$7:$D$100,4,FALSE),0)</f>
        <v>119713</v>
      </c>
      <c r="D18" s="13">
        <f>C18+1700</f>
        <v>121413</v>
      </c>
      <c r="E18" s="38">
        <f t="shared" si="0"/>
        <v>1700</v>
      </c>
      <c r="F18" s="39">
        <f t="shared" si="1"/>
        <v>1.0142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IFERROR(VLOOKUP(A19,[4]Podkarpacki!$A$7:$D$100,4,FALSE),0)</f>
        <v>39570</v>
      </c>
      <c r="D19" s="13">
        <f>C19+936</f>
        <v>40506</v>
      </c>
      <c r="E19" s="38">
        <f t="shared" si="0"/>
        <v>936</v>
      </c>
      <c r="F19" s="39">
        <f t="shared" si="1"/>
        <v>1.0237000000000001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IFERROR(VLOOKUP(A20,[4]Podkarpacki!$A$7:$D$100,4,FALSE),0)</f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IFERROR(VLOOKUP(A21,[4]Podkarpacki!$A$7:$D$100,4,FALSE),0)</f>
        <v>8874</v>
      </c>
      <c r="D21" s="13">
        <f>C21+116</f>
        <v>8990</v>
      </c>
      <c r="E21" s="38">
        <f t="shared" si="0"/>
        <v>116</v>
      </c>
      <c r="F21" s="39">
        <f t="shared" si="1"/>
        <v>1.0130999999999999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IFERROR(VLOOKUP(A22,[4]Podkarpacki!$A$7:$D$100,4,FALSE),0)</f>
        <v>102063</v>
      </c>
      <c r="D22" s="13">
        <f>C22+3375</f>
        <v>105438</v>
      </c>
      <c r="E22" s="38">
        <f t="shared" si="0"/>
        <v>3375</v>
      </c>
      <c r="F22" s="39">
        <f t="shared" si="1"/>
        <v>1.0330999999999999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IFERROR(VLOOKUP(A23,[4]Podkarpacki!$A$7:$D$100,4,FALSE),0)</f>
        <v>57454</v>
      </c>
      <c r="D23" s="13">
        <f t="shared" si="2"/>
        <v>57454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IFERROR(VLOOKUP(A24,[4]Podkarpacki!$A$7:$D$100,4,FALSE),0)</f>
        <v>423652</v>
      </c>
      <c r="D24" s="13">
        <f t="shared" si="2"/>
        <v>423652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IFERROR(VLOOKUP(A25,[4]Podkarpacki!$A$7:$D$100,4,FALSE),0)</f>
        <v>420652</v>
      </c>
      <c r="D25" s="13">
        <f t="shared" si="2"/>
        <v>420652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IFERROR(VLOOKUP(A26,[4]Podkarpacki!$A$7:$D$100,4,FALSE),0)</f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IFERROR(VLOOKUP(A27,[4]Podkarpacki!$A$7:$D$100,4,FALSE),0)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IFERROR(VLOOKUP(A28,[4]Podkarpacki!$A$7:$D$100,4,FALSE),0)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IFERROR(VLOOKUP(A29,[4]Podkarpacki!$A$7:$D$100,4,FALSE),0)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IFERROR(VLOOKUP(A30,[4]Podkarpacki!$A$7:$D$100,4,FALSE),0)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IFERROR(VLOOKUP(A31,[4]Podkarpacki!$A$7:$D$100,4,FALSE),0)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IFERROR(VLOOKUP(A32,[4]Podkarpacki!$A$7:$D$100,4,FALSE),0)</f>
        <v>41868</v>
      </c>
      <c r="D32" s="13">
        <f t="shared" si="2"/>
        <v>41868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IFERROR(VLOOKUP(A33,[4]Podkarpacki!$A$7:$D$100,4,FALSE),0)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IFERROR(VLOOKUP(A34,[4]Podkarpacki!$A$7:$D$100,4,FALSE),0)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IFERROR(VLOOKUP(A35,[4]Podkarpacki!$A$7:$D$100,4,FALSE),0)</f>
        <v>34419</v>
      </c>
      <c r="D35" s="13">
        <f>C35+1000</f>
        <v>35419</v>
      </c>
      <c r="E35" s="38">
        <f>IF(C35=D35,"-",D35-C35)</f>
        <v>1000</v>
      </c>
      <c r="F35" s="39">
        <f>IF(C35=0,"-",D35/C35)</f>
        <v>1.0290999999999999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IFERROR(VLOOKUP(A36,[4]Podkarpacki!$A$7:$D$100,4,FALSE),0)</f>
        <v>69</v>
      </c>
      <c r="D36" s="37">
        <f>C36</f>
        <v>69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IFERROR(VLOOKUP(A37,[4]Podkarpacki!$A$7:$D$100,4,FALSE),0)</f>
        <v>124076</v>
      </c>
      <c r="D37" s="37">
        <f>C37</f>
        <v>124076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IFERROR(VLOOKUP(A38,[4]Podkarpacki!$A$7:$D$100,4,FALSE),0)</f>
        <v>35420</v>
      </c>
      <c r="D38" s="37">
        <f>C38</f>
        <v>35420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IFERROR(VLOOKUP(A39,[4]Podkarpacki!$A$7:$D$100,4,FALSE),0)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673177</v>
      </c>
      <c r="D40" s="32">
        <f>D11+D13+D24+D30</f>
        <v>673177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28150</v>
      </c>
      <c r="D41" s="71">
        <f>D42+D43+D44+D52+D54+D60+D61+D59</f>
        <v>28601</v>
      </c>
      <c r="E41" s="68">
        <f t="shared" si="0"/>
        <v>451</v>
      </c>
      <c r="F41" s="86">
        <f t="shared" si="1"/>
        <v>1.016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IFERROR(VLOOKUP(A42,[4]Podkarpacki!$A$7:$D$100,4,FALSE),0)</f>
        <v>1413</v>
      </c>
      <c r="D42" s="33">
        <f>C42+50</f>
        <v>1463</v>
      </c>
      <c r="E42" s="38">
        <f t="shared" si="0"/>
        <v>50</v>
      </c>
      <c r="F42" s="39">
        <f t="shared" si="1"/>
        <v>1.0354000000000001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IFERROR(VLOOKUP(A43,[4]Podkarpacki!$A$7:$D$100,4,FALSE),0)</f>
        <v>2947</v>
      </c>
      <c r="D43" s="33">
        <f>C43+31</f>
        <v>2978</v>
      </c>
      <c r="E43" s="38">
        <f t="shared" si="0"/>
        <v>31</v>
      </c>
      <c r="F43" s="39">
        <f t="shared" si="1"/>
        <v>1.0105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125</v>
      </c>
      <c r="D44" s="33">
        <f>D45+D47+D48+D49+D50+D51</f>
        <v>126</v>
      </c>
      <c r="E44" s="38">
        <f t="shared" si="0"/>
        <v>1</v>
      </c>
      <c r="F44" s="39">
        <f t="shared" si="1"/>
        <v>1.008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IFERROR(VLOOKUP(A45,[4]Podkarpacki!$A$7:$D$100,4,FALSE),0)</f>
        <v>29</v>
      </c>
      <c r="D45" s="33">
        <f t="shared" ref="D45:D60" si="3">C45</f>
        <v>29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IFERROR(VLOOKUP(A46,[4]Podkarpacki!$A$7:$D$100,4,FALSE),0)</f>
        <v>29</v>
      </c>
      <c r="D46" s="33">
        <f t="shared" si="3"/>
        <v>29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IFERROR(VLOOKUP(A47,[4]Podkarpacki!$A$7:$D$100,4,FALSE),0)</f>
        <v>13</v>
      </c>
      <c r="D47" s="33">
        <f t="shared" si="3"/>
        <v>13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IFERROR(VLOOKUP(A48,[4]Podkarpacki!$A$7:$D$100,4,FALSE),0)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IFERROR(VLOOKUP(A49,[4]Podkarpacki!$A$7:$D$100,4,FALSE),0)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IFERROR(VLOOKUP(A50,[4]Podkarpacki!$A$7:$D$100,4,FALSE),0)</f>
        <v>45</v>
      </c>
      <c r="D50" s="33">
        <f>C50+1</f>
        <v>46</v>
      </c>
      <c r="E50" s="38">
        <f t="shared" si="0"/>
        <v>1</v>
      </c>
      <c r="F50" s="39">
        <f t="shared" si="1"/>
        <v>1.0222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IFERROR(VLOOKUP(A51,[4]Podkarpacki!$A$7:$D$100,4,FALSE),0)</f>
        <v>38</v>
      </c>
      <c r="D51" s="33">
        <f t="shared" si="3"/>
        <v>38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IFERROR(VLOOKUP(A52,[4]Podkarpacki!$A$7:$D$100,4,FALSE),0)</f>
        <v>16251</v>
      </c>
      <c r="D52" s="33">
        <f>C52+305</f>
        <v>16556</v>
      </c>
      <c r="E52" s="38">
        <f t="shared" si="0"/>
        <v>305</v>
      </c>
      <c r="F52" s="39">
        <f t="shared" si="1"/>
        <v>1.0187999999999999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IFERROR(VLOOKUP(A53,[4]Podkarpacki!$A$7:$D$100,4,FALSE),0)</f>
        <v>10</v>
      </c>
      <c r="D53" s="33">
        <f t="shared" si="3"/>
        <v>10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3635</v>
      </c>
      <c r="D54" s="29">
        <f>D55+D56+D57+D58</f>
        <v>3697</v>
      </c>
      <c r="E54" s="38">
        <f t="shared" si="0"/>
        <v>62</v>
      </c>
      <c r="F54" s="39">
        <f t="shared" si="1"/>
        <v>1.0170999999999999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IFERROR(VLOOKUP(A55,[4]Podkarpacki!$A$7:$D$100,4,FALSE),0)</f>
        <v>2789</v>
      </c>
      <c r="D55" s="33">
        <f>C55+49</f>
        <v>2838</v>
      </c>
      <c r="E55" s="38">
        <f t="shared" si="0"/>
        <v>49</v>
      </c>
      <c r="F55" s="39">
        <f t="shared" si="1"/>
        <v>1.0176000000000001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IFERROR(VLOOKUP(A56,[4]Podkarpacki!$A$7:$D$100,4,FALSE),0)</f>
        <v>398</v>
      </c>
      <c r="D56" s="33">
        <f>C56+5</f>
        <v>403</v>
      </c>
      <c r="E56" s="38">
        <f t="shared" si="0"/>
        <v>5</v>
      </c>
      <c r="F56" s="39">
        <f t="shared" si="1"/>
        <v>1.0125999999999999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IFERROR(VLOOKUP(A57,[4]Podkarpacki!$A$7:$D$100,4,FALSE),0)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IFERROR(VLOOKUP(A58,[4]Podkarpacki!$A$7:$D$100,4,FALSE),0)</f>
        <v>448</v>
      </c>
      <c r="D58" s="33">
        <f>C58+8</f>
        <v>456</v>
      </c>
      <c r="E58" s="38">
        <f t="shared" si="0"/>
        <v>8</v>
      </c>
      <c r="F58" s="39">
        <f t="shared" si="1"/>
        <v>1.0179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IFERROR(VLOOKUP(A59,[4]Podkarpacki!$A$7:$D$100,4,FALSE),0)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IFERROR(VLOOKUP(A60,[4]Podkarpacki!$A$7:$D$100,4,FALSE),0)</f>
        <v>3500</v>
      </c>
      <c r="D60" s="33">
        <f t="shared" si="3"/>
        <v>3500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IFERROR(VLOOKUP(A61,[4]Podkarpacki!$A$7:$D$100,4,FALSE),0)</f>
        <v>279</v>
      </c>
      <c r="D61" s="33">
        <f>C61+2</f>
        <v>281</v>
      </c>
      <c r="E61" s="38">
        <f t="shared" si="0"/>
        <v>2</v>
      </c>
      <c r="F61" s="39">
        <f t="shared" si="1"/>
        <v>1.0072000000000001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3300</v>
      </c>
      <c r="D62" s="87">
        <f>D63+D64+D65+D66</f>
        <v>3300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IFERROR(VLOOKUP(A63,[4]Podkarpacki!$A$7:$D$100,4,FALSE),0)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IFERROR(VLOOKUP(A64,[4]Podkarpacki!$A$7:$D$100,4,FALSE),0)</f>
        <v>2300</v>
      </c>
      <c r="D64" s="33">
        <f>C64</f>
        <v>2300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IFERROR(VLOOKUP(A65,[4]Podkarpacki!$A$7:$D$100,4,FALSE),0)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IFERROR(VLOOKUP(A66,[4]Podkarpacki!$A$7:$D$100,4,FALSE),0)</f>
        <v>1000</v>
      </c>
      <c r="D66" s="33">
        <f>C66</f>
        <v>1000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IFERROR(VLOOKUP(A67,[4]Podkarpacki!$A$7:$D$100,4,FALSE),0)</f>
        <v>400</v>
      </c>
      <c r="D67" s="87">
        <f>C67</f>
        <v>400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68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2565348</v>
      </c>
      <c r="D6" s="83">
        <f>D7+D8+D9+D14+D15+D16+D17+D18+D19+D20+D21+D22+D23+D24+D28+D29+D31+D32+D33+D34+D35</f>
        <v>2689944</v>
      </c>
      <c r="E6" s="68">
        <f>IF(C6=D6,"-",D6-C6)</f>
        <v>124596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IFERROR(VLOOKUP(A7,[4]Podlaski!$A$7:$D$100,4,FALSE),0)</f>
        <v>331200</v>
      </c>
      <c r="D7" s="13">
        <f>C7+34000</f>
        <v>365200</v>
      </c>
      <c r="E7" s="38">
        <f t="shared" ref="E7:E67" si="0">IF(C7=D7,"-",D7-C7)</f>
        <v>34000</v>
      </c>
      <c r="F7" s="39">
        <f t="shared" ref="F7:F67" si="1">IF(C7=0,"-",D7/C7)</f>
        <v>1.1027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IFERROR(VLOOKUP(A8,[4]Podlaski!$A$7:$D$100,4,FALSE),0)</f>
        <v>141528</v>
      </c>
      <c r="D8" s="13">
        <f>C8+15070</f>
        <v>156598</v>
      </c>
      <c r="E8" s="38">
        <f t="shared" si="0"/>
        <v>15070</v>
      </c>
      <c r="F8" s="39">
        <f t="shared" si="1"/>
        <v>1.1065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IFERROR(VLOOKUP(A9,[4]Podlaski!$A$7:$D$100,4,FALSE),0)</f>
        <v>1369316</v>
      </c>
      <c r="D9" s="13">
        <f>C9+52096</f>
        <v>1421412</v>
      </c>
      <c r="E9" s="38">
        <f t="shared" si="0"/>
        <v>52096</v>
      </c>
      <c r="F9" s="39">
        <f t="shared" si="1"/>
        <v>1.038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IFERROR(VLOOKUP(A10,[4]Podlaski!$A$7:$D$100,4,FALSE),0)</f>
        <v>112600</v>
      </c>
      <c r="D10" s="13">
        <f>C10+810</f>
        <v>113410</v>
      </c>
      <c r="E10" s="38">
        <f t="shared" si="0"/>
        <v>810</v>
      </c>
      <c r="F10" s="39">
        <f t="shared" si="1"/>
        <v>1.0072000000000001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IFERROR(VLOOKUP(A11,[4]Podlaski!$A$7:$D$100,4,FALSE),0)</f>
        <v>104000</v>
      </c>
      <c r="D11" s="13">
        <f t="shared" ref="D11:D34" si="2">C11</f>
        <v>104000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IFERROR(VLOOKUP(A12,[4]Podlaski!$A$7:$D$100,4,FALSE),0)</f>
        <v>46800</v>
      </c>
      <c r="D12" s="13">
        <f>C12+275</f>
        <v>47075</v>
      </c>
      <c r="E12" s="38">
        <f t="shared" si="0"/>
        <v>275</v>
      </c>
      <c r="F12" s="39">
        <f t="shared" si="1"/>
        <v>1.0059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IFERROR(VLOOKUP(A13,[4]Podlaski!$A$7:$D$100,4,FALSE),0)</f>
        <v>25000</v>
      </c>
      <c r="D13" s="13">
        <f t="shared" si="2"/>
        <v>25000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IFERROR(VLOOKUP(A14,[4]Podlaski!$A$7:$D$100,4,FALSE),0)</f>
        <v>82284</v>
      </c>
      <c r="D14" s="13">
        <f>C14+1290</f>
        <v>83574</v>
      </c>
      <c r="E14" s="38">
        <f t="shared" si="0"/>
        <v>1290</v>
      </c>
      <c r="F14" s="39">
        <f t="shared" si="1"/>
        <v>1.0157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IFERROR(VLOOKUP(A15,[4]Podlaski!$A$7:$D$100,4,FALSE),0)</f>
        <v>63948</v>
      </c>
      <c r="D15" s="13">
        <f>C15+4320</f>
        <v>68268</v>
      </c>
      <c r="E15" s="38">
        <f t="shared" si="0"/>
        <v>4320</v>
      </c>
      <c r="F15" s="39">
        <f t="shared" si="1"/>
        <v>1.0676000000000001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IFERROR(VLOOKUP(A16,[4]Podlaski!$A$7:$D$100,4,FALSE),0)</f>
        <v>42000</v>
      </c>
      <c r="D16" s="13">
        <f>C16+490</f>
        <v>42490</v>
      </c>
      <c r="E16" s="38">
        <f t="shared" si="0"/>
        <v>490</v>
      </c>
      <c r="F16" s="39">
        <f t="shared" si="1"/>
        <v>1.0117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IFERROR(VLOOKUP(A17,[4]Podlaski!$A$7:$D$100,4,FALSE),0)</f>
        <v>23300</v>
      </c>
      <c r="D17" s="13">
        <f>C17+305</f>
        <v>23605</v>
      </c>
      <c r="E17" s="38">
        <f t="shared" si="0"/>
        <v>305</v>
      </c>
      <c r="F17" s="39">
        <f t="shared" si="1"/>
        <v>1.0130999999999999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IFERROR(VLOOKUP(A18,[4]Podlaski!$A$7:$D$100,4,FALSE),0)</f>
        <v>63900</v>
      </c>
      <c r="D18" s="13">
        <f>C18+930</f>
        <v>64830</v>
      </c>
      <c r="E18" s="38">
        <f t="shared" si="0"/>
        <v>930</v>
      </c>
      <c r="F18" s="39">
        <f t="shared" si="1"/>
        <v>1.0145999999999999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IFERROR(VLOOKUP(A19,[4]Podlaski!$A$7:$D$100,4,FALSE),0)</f>
        <v>21000</v>
      </c>
      <c r="D19" s="13">
        <f t="shared" si="2"/>
        <v>21000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IFERROR(VLOOKUP(A20,[4]Podlaski!$A$7:$D$100,4,FALSE),0)</f>
        <v>1722</v>
      </c>
      <c r="D20" s="13">
        <f t="shared" si="2"/>
        <v>1722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IFERROR(VLOOKUP(A21,[4]Podlaski!$A$7:$D$100,4,FALSE),0)</f>
        <v>5161</v>
      </c>
      <c r="D21" s="13">
        <f>C21+925</f>
        <v>6086</v>
      </c>
      <c r="E21" s="38">
        <f t="shared" si="0"/>
        <v>925</v>
      </c>
      <c r="F21" s="39">
        <f t="shared" si="1"/>
        <v>1.1792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IFERROR(VLOOKUP(A22,[4]Podlaski!$A$7:$D$100,4,FALSE),0)</f>
        <v>67292</v>
      </c>
      <c r="D22" s="13">
        <f>C22+3770</f>
        <v>71062</v>
      </c>
      <c r="E22" s="38">
        <f t="shared" si="0"/>
        <v>3770</v>
      </c>
      <c r="F22" s="39">
        <f t="shared" si="1"/>
        <v>1.056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IFERROR(VLOOKUP(A23,[4]Podlaski!$A$7:$D$100,4,FALSE),0)</f>
        <v>34500</v>
      </c>
      <c r="D23" s="13">
        <f t="shared" si="2"/>
        <v>34500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IFERROR(VLOOKUP(A24,[4]Podlaski!$A$7:$D$100,4,FALSE),0)</f>
        <v>239500</v>
      </c>
      <c r="D24" s="13">
        <f>C24+2700-2700</f>
        <v>239500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IFERROR(VLOOKUP(A25,[4]Podlaski!$A$7:$D$100,4,FALSE),0)</f>
        <v>237400</v>
      </c>
      <c r="D25" s="13">
        <f>C25+2700-2700</f>
        <v>237400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IFERROR(VLOOKUP(A26,[4]Podlaski!$A$7:$D$100,4,FALSE),0)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IFERROR(VLOOKUP(A27,[4]Podlaski!$A$7:$D$100,4,FALSE),0)</f>
        <v>600</v>
      </c>
      <c r="D27" s="13">
        <f t="shared" si="2"/>
        <v>600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IFERROR(VLOOKUP(A28,[4]Podlaski!$A$7:$D$100,4,FALSE),0)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IFERROR(VLOOKUP(A29,[4]Podlaski!$A$7:$D$100,4,FALSE),0)</f>
        <v>0</v>
      </c>
      <c r="D29" s="13">
        <f>C29+8300+2700</f>
        <v>11000</v>
      </c>
      <c r="E29" s="38">
        <f t="shared" si="0"/>
        <v>11000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IFERROR(VLOOKUP(A30,[4]Podlaski!$A$7:$D$100,4,FALSE),0)</f>
        <v>0</v>
      </c>
      <c r="D30" s="13">
        <f>C30+7300-7300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IFERROR(VLOOKUP(A31,[4]Podlaski!$A$7:$D$100,4,FALSE),0)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IFERROR(VLOOKUP(A32,[4]Podlaski!$A$7:$D$100,4,FALSE),0)</f>
        <v>49149</v>
      </c>
      <c r="D32" s="13">
        <f>C32</f>
        <v>49149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IFERROR(VLOOKUP(A33,[4]Podlaski!$A$7:$D$100,4,FALSE),0)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IFERROR(VLOOKUP(A34,[4]Podlaski!$A$7:$D$100,4,FALSE),0)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IFERROR(VLOOKUP(A35,[4]Podlaski!$A$7:$D$100,4,FALSE),0)</f>
        <v>29448</v>
      </c>
      <c r="D35" s="13">
        <f>C35+400</f>
        <v>29848</v>
      </c>
      <c r="E35" s="38">
        <f>IF(C35=D35,"-",D35-C35)</f>
        <v>400</v>
      </c>
      <c r="F35" s="39">
        <f>IF(C35=0,"-",D35/C35)</f>
        <v>1.0136000000000001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IFERROR(VLOOKUP(A36,[4]Podlaski!$A$7:$D$100,4,FALSE),0)</f>
        <v>385</v>
      </c>
      <c r="D36" s="37">
        <f>C36</f>
        <v>385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IFERROR(VLOOKUP(A37,[4]Podlaski!$A$7:$D$100,4,FALSE),0)</f>
        <v>81366</v>
      </c>
      <c r="D37" s="37">
        <f>C37</f>
        <v>81366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IFERROR(VLOOKUP(A38,[4]Podlaski!$A$7:$D$100,4,FALSE),0)</f>
        <v>22296</v>
      </c>
      <c r="D38" s="37">
        <f>C38</f>
        <v>22296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IFERROR(VLOOKUP(A39,[4]Podlaski!$A$7:$D$100,4,FALSE),0)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368500</v>
      </c>
      <c r="D40" s="32">
        <f>D11+D13+D24+D30</f>
        <v>368500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19325</v>
      </c>
      <c r="D41" s="71">
        <f>D42+D43+D44+D52+D54+D60+D61+D59</f>
        <v>19722</v>
      </c>
      <c r="E41" s="68">
        <f t="shared" si="0"/>
        <v>397</v>
      </c>
      <c r="F41" s="86">
        <f t="shared" si="1"/>
        <v>1.0205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IFERROR(VLOOKUP(A42,[4]Podlaski!$A$7:$D$100,4,FALSE),0)</f>
        <v>605</v>
      </c>
      <c r="D42" s="33">
        <f>C42+50</f>
        <v>655</v>
      </c>
      <c r="E42" s="38">
        <f t="shared" si="0"/>
        <v>50</v>
      </c>
      <c r="F42" s="39">
        <f t="shared" si="1"/>
        <v>1.0826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IFERROR(VLOOKUP(A43,[4]Podlaski!$A$7:$D$100,4,FALSE),0)</f>
        <v>1480</v>
      </c>
      <c r="D43" s="33">
        <f>C43+31</f>
        <v>1511</v>
      </c>
      <c r="E43" s="38">
        <f t="shared" si="0"/>
        <v>31</v>
      </c>
      <c r="F43" s="39">
        <f t="shared" si="1"/>
        <v>1.0208999999999999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290</v>
      </c>
      <c r="D44" s="33">
        <f>D45+D47+D48+D49+D50+D51</f>
        <v>291</v>
      </c>
      <c r="E44" s="38">
        <f t="shared" si="0"/>
        <v>1</v>
      </c>
      <c r="F44" s="39">
        <f t="shared" si="1"/>
        <v>1.0034000000000001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IFERROR(VLOOKUP(A45,[4]Podlaski!$A$7:$D$100,4,FALSE),0)</f>
        <v>19</v>
      </c>
      <c r="D45" s="33">
        <f t="shared" ref="D45:D60" si="3">C45</f>
        <v>19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IFERROR(VLOOKUP(A46,[4]Podlaski!$A$7:$D$100,4,FALSE),0)</f>
        <v>19</v>
      </c>
      <c r="D46" s="33">
        <f t="shared" si="3"/>
        <v>19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IFERROR(VLOOKUP(A47,[4]Podlaski!$A$7:$D$100,4,FALSE),0)</f>
        <v>90</v>
      </c>
      <c r="D47" s="33">
        <f t="shared" si="3"/>
        <v>90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IFERROR(VLOOKUP(A48,[4]Podlaski!$A$7:$D$100,4,FALSE),0)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IFERROR(VLOOKUP(A49,[4]Podlaski!$A$7:$D$100,4,FALSE),0)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IFERROR(VLOOKUP(A50,[4]Podlaski!$A$7:$D$100,4,FALSE),0)</f>
        <v>175</v>
      </c>
      <c r="D50" s="33">
        <f>C50+1</f>
        <v>176</v>
      </c>
      <c r="E50" s="38">
        <f t="shared" si="0"/>
        <v>1</v>
      </c>
      <c r="F50" s="39">
        <f t="shared" si="1"/>
        <v>1.0057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IFERROR(VLOOKUP(A51,[4]Podlaski!$A$7:$D$100,4,FALSE),0)</f>
        <v>6</v>
      </c>
      <c r="D51" s="33">
        <f t="shared" si="3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IFERROR(VLOOKUP(A52,[4]Podlaski!$A$7:$D$100,4,FALSE),0)</f>
        <v>11678</v>
      </c>
      <c r="D52" s="33">
        <f>C52+259</f>
        <v>11937</v>
      </c>
      <c r="E52" s="38">
        <f t="shared" si="0"/>
        <v>259</v>
      </c>
      <c r="F52" s="39">
        <f t="shared" si="1"/>
        <v>1.0222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IFERROR(VLOOKUP(A53,[4]Podlaski!$A$7:$D$100,4,FALSE),0)</f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2615</v>
      </c>
      <c r="D54" s="29">
        <f>D55+D56+D57+D58</f>
        <v>2669</v>
      </c>
      <c r="E54" s="38">
        <f t="shared" si="0"/>
        <v>54</v>
      </c>
      <c r="F54" s="39">
        <f t="shared" si="1"/>
        <v>1.0206999999999999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IFERROR(VLOOKUP(A55,[4]Podlaski!$A$7:$D$100,4,FALSE),0)</f>
        <v>2004</v>
      </c>
      <c r="D55" s="33">
        <f>C55+42</f>
        <v>2046</v>
      </c>
      <c r="E55" s="38">
        <f t="shared" si="0"/>
        <v>42</v>
      </c>
      <c r="F55" s="39">
        <f t="shared" si="1"/>
        <v>1.0209999999999999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IFERROR(VLOOKUP(A56,[4]Podlaski!$A$7:$D$100,4,FALSE),0)</f>
        <v>286</v>
      </c>
      <c r="D56" s="33">
        <f>C56+5</f>
        <v>291</v>
      </c>
      <c r="E56" s="38">
        <f t="shared" si="0"/>
        <v>5</v>
      </c>
      <c r="F56" s="39">
        <f t="shared" si="1"/>
        <v>1.0175000000000001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IFERROR(VLOOKUP(A57,[4]Podlaski!$A$7:$D$100,4,FALSE),0)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IFERROR(VLOOKUP(A58,[4]Podlaski!$A$7:$D$100,4,FALSE),0)</f>
        <v>325</v>
      </c>
      <c r="D58" s="33">
        <f>C58+7</f>
        <v>332</v>
      </c>
      <c r="E58" s="38">
        <f t="shared" si="0"/>
        <v>7</v>
      </c>
      <c r="F58" s="39">
        <f t="shared" si="1"/>
        <v>1.0215000000000001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IFERROR(VLOOKUP(A59,[4]Podlaski!$A$7:$D$100,4,FALSE),0)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IFERROR(VLOOKUP(A60,[4]Podlaski!$A$7:$D$100,4,FALSE),0)</f>
        <v>2504</v>
      </c>
      <c r="D60" s="33">
        <f t="shared" si="3"/>
        <v>2504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IFERROR(VLOOKUP(A61,[4]Podlaski!$A$7:$D$100,4,FALSE),0)</f>
        <v>153</v>
      </c>
      <c r="D61" s="33">
        <f>C61+2</f>
        <v>155</v>
      </c>
      <c r="E61" s="38">
        <f t="shared" si="0"/>
        <v>2</v>
      </c>
      <c r="F61" s="39">
        <f t="shared" si="1"/>
        <v>1.0130999999999999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1872</v>
      </c>
      <c r="D62" s="87">
        <f>D63+D64+D65+D66</f>
        <v>1872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IFERROR(VLOOKUP(A63,[4]Podlaski!$A$7:$D$100,4,FALSE),0)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IFERROR(VLOOKUP(A64,[4]Podlaski!$A$7:$D$100,4,FALSE),0)</f>
        <v>880</v>
      </c>
      <c r="D64" s="33">
        <f>C64</f>
        <v>880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IFERROR(VLOOKUP(A65,[4]Podlaski!$A$7:$D$100,4,FALSE),0)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IFERROR(VLOOKUP(A66,[4]Podlaski!$A$7:$D$100,4,FALSE),0)</f>
        <v>992</v>
      </c>
      <c r="D66" s="33">
        <f>C66</f>
        <v>992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IFERROR(VLOOKUP(A67,[4]Podlaski!$A$7:$D$100,4,FALSE),0)</f>
        <v>360</v>
      </c>
      <c r="D67" s="87">
        <f>C67</f>
        <v>360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4934352</v>
      </c>
      <c r="D6" s="83">
        <f>D7+D8+D9+D14+D15+D16+D17+D18+D19+D20+D21+D22+D23+D24+D28+D29+D31+D32+D33+D34+D35</f>
        <v>5176765</v>
      </c>
      <c r="E6" s="68">
        <f>IF(C6=D6,"-",D6-C6)</f>
        <v>242413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IFERROR(VLOOKUP(A7,[4]Pomorski!$A$7:$D$100,4,FALSE),0)</f>
        <v>666615</v>
      </c>
      <c r="D7" s="13">
        <f>C7+74260</f>
        <v>740875</v>
      </c>
      <c r="E7" s="38">
        <f t="shared" ref="E7:E67" si="0">IF(C7=D7,"-",D7-C7)</f>
        <v>74260</v>
      </c>
      <c r="F7" s="39">
        <f t="shared" ref="F7:F67" si="1">IF(C7=0,"-",D7/C7)</f>
        <v>1.1113999999999999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IFERROR(VLOOKUP(A8,[4]Pomorski!$A$7:$D$100,4,FALSE),0)</f>
        <v>332030</v>
      </c>
      <c r="D8" s="13">
        <f>C8+4959</f>
        <v>336989</v>
      </c>
      <c r="E8" s="38">
        <f t="shared" si="0"/>
        <v>4959</v>
      </c>
      <c r="F8" s="39">
        <f t="shared" si="1"/>
        <v>1.0148999999999999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IFERROR(VLOOKUP(A9,[4]Pomorski!$A$7:$D$100,4,FALSE),0)</f>
        <v>2515021</v>
      </c>
      <c r="D9" s="13">
        <f>C9+146720</f>
        <v>2661741</v>
      </c>
      <c r="E9" s="38">
        <f t="shared" si="0"/>
        <v>146720</v>
      </c>
      <c r="F9" s="39">
        <f t="shared" si="1"/>
        <v>1.0583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IFERROR(VLOOKUP(A10,[4]Pomorski!$A$7:$D$100,4,FALSE),0)</f>
        <v>286630</v>
      </c>
      <c r="D10" s="13">
        <f>C10</f>
        <v>286630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IFERROR(VLOOKUP(A11,[4]Pomorski!$A$7:$D$100,4,FALSE),0)</f>
        <v>265018</v>
      </c>
      <c r="D11" s="13">
        <f t="shared" ref="D11:D34" si="2">C11</f>
        <v>265018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IFERROR(VLOOKUP(A12,[4]Pomorski!$A$7:$D$100,4,FALSE),0)</f>
        <v>93371</v>
      </c>
      <c r="D12" s="13">
        <f t="shared" si="2"/>
        <v>93371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IFERROR(VLOOKUP(A13,[4]Pomorski!$A$7:$D$100,4,FALSE),0)</f>
        <v>54059</v>
      </c>
      <c r="D13" s="13">
        <f t="shared" si="2"/>
        <v>54059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IFERROR(VLOOKUP(A14,[4]Pomorski!$A$7:$D$100,4,FALSE),0)</f>
        <v>198114</v>
      </c>
      <c r="D14" s="13">
        <f>C14+4456</f>
        <v>202570</v>
      </c>
      <c r="E14" s="38">
        <f t="shared" si="0"/>
        <v>4456</v>
      </c>
      <c r="F14" s="39">
        <f t="shared" si="1"/>
        <v>1.0225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IFERROR(VLOOKUP(A15,[4]Pomorski!$A$7:$D$100,4,FALSE),0)</f>
        <v>137986</v>
      </c>
      <c r="D15" s="13">
        <f>C15+6973</f>
        <v>144959</v>
      </c>
      <c r="E15" s="38">
        <f t="shared" si="0"/>
        <v>6973</v>
      </c>
      <c r="F15" s="39">
        <f t="shared" si="1"/>
        <v>1.0505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IFERROR(VLOOKUP(A16,[4]Pomorski!$A$7:$D$100,4,FALSE),0)</f>
        <v>62183</v>
      </c>
      <c r="D16" s="13">
        <f>C16+821</f>
        <v>63004</v>
      </c>
      <c r="E16" s="38">
        <f t="shared" si="0"/>
        <v>821</v>
      </c>
      <c r="F16" s="39">
        <f t="shared" si="1"/>
        <v>1.0132000000000001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IFERROR(VLOOKUP(A17,[4]Pomorski!$A$7:$D$100,4,FALSE),0)</f>
        <v>45413</v>
      </c>
      <c r="D17" s="13">
        <f>C17+609</f>
        <v>46022</v>
      </c>
      <c r="E17" s="38">
        <f t="shared" si="0"/>
        <v>609</v>
      </c>
      <c r="F17" s="39">
        <f t="shared" si="1"/>
        <v>1.0134000000000001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IFERROR(VLOOKUP(A18,[4]Pomorski!$A$7:$D$100,4,FALSE),0)</f>
        <v>114626</v>
      </c>
      <c r="D18" s="13">
        <f>C18+1721</f>
        <v>116347</v>
      </c>
      <c r="E18" s="38">
        <f t="shared" si="0"/>
        <v>1721</v>
      </c>
      <c r="F18" s="39">
        <f t="shared" si="1"/>
        <v>1.0149999999999999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IFERROR(VLOOKUP(A19,[4]Pomorski!$A$7:$D$100,4,FALSE),0)</f>
        <v>35753</v>
      </c>
      <c r="D19" s="13">
        <f t="shared" si="2"/>
        <v>35753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IFERROR(VLOOKUP(A20,[4]Pomorski!$A$7:$D$100,4,FALSE),0)</f>
        <v>1574</v>
      </c>
      <c r="D20" s="13">
        <f>C20</f>
        <v>1574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IFERROR(VLOOKUP(A21,[4]Pomorski!$A$7:$D$100,4,FALSE),0)</f>
        <v>10447</v>
      </c>
      <c r="D21" s="13">
        <f>C21+102</f>
        <v>10549</v>
      </c>
      <c r="E21" s="38">
        <f t="shared" si="0"/>
        <v>102</v>
      </c>
      <c r="F21" s="39">
        <f t="shared" si="1"/>
        <v>1.0098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IFERROR(VLOOKUP(A22,[4]Pomorski!$A$7:$D$100,4,FALSE),0)</f>
        <v>129333</v>
      </c>
      <c r="D22" s="13">
        <f>C22+1711</f>
        <v>131044</v>
      </c>
      <c r="E22" s="38">
        <f t="shared" si="0"/>
        <v>1711</v>
      </c>
      <c r="F22" s="39">
        <f t="shared" si="1"/>
        <v>1.0132000000000001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IFERROR(VLOOKUP(A23,[4]Pomorski!$A$7:$D$100,4,FALSE),0)</f>
        <v>64000</v>
      </c>
      <c r="D23" s="13">
        <f t="shared" si="2"/>
        <v>64000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IFERROR(VLOOKUP(A24,[4]Pomorski!$A$7:$D$100,4,FALSE),0)</f>
        <v>591500</v>
      </c>
      <c r="D24" s="13">
        <f t="shared" si="2"/>
        <v>591500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IFERROR(VLOOKUP(A25,[4]Pomorski!$A$7:$D$100,4,FALSE),0)</f>
        <v>589600</v>
      </c>
      <c r="D25" s="13">
        <f t="shared" si="2"/>
        <v>589600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IFERROR(VLOOKUP(A26,[4]Pomorski!$A$7:$D$100,4,FALSE),0)</f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IFERROR(VLOOKUP(A27,[4]Pomorski!$A$7:$D$100,4,FALSE),0)</f>
        <v>900</v>
      </c>
      <c r="D27" s="13">
        <f t="shared" si="2"/>
        <v>900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IFERROR(VLOOKUP(A29,[4]Pomorski!$A$7:$D$100,4,FALSE),0)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IFERROR(VLOOKUP(A32,[4]Pomorski!$A$7:$D$100,4,FALSE),0)</f>
        <v>14528</v>
      </c>
      <c r="D32" s="13">
        <f t="shared" si="2"/>
        <v>14528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IFERROR(VLOOKUP(A34,[4]Pomorski!$A$7:$D$100,4,FALSE),0)</f>
        <v>50</v>
      </c>
      <c r="D34" s="13">
        <f t="shared" si="2"/>
        <v>50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IFERROR(VLOOKUP(A35,[4]Pomorski!$A$7:$D$100,4,FALSE),0)</f>
        <v>15179</v>
      </c>
      <c r="D35" s="13">
        <f>C35+81</f>
        <v>15260</v>
      </c>
      <c r="E35" s="38">
        <f>IF(C35=D35,"-",D35-C35)</f>
        <v>81</v>
      </c>
      <c r="F35" s="39">
        <f>IF(C35=0,"-",D35/C35)</f>
        <v>1.0053000000000001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IFERROR(VLOOKUP(A36,[4]Pomorski!$A$7:$D$100,4,FALSE),0)</f>
        <v>58</v>
      </c>
      <c r="D36" s="37">
        <f>C36</f>
        <v>58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IFERROR(VLOOKUP(A37,[4]Pomorski!$A$7:$D$100,4,FALSE),0)</f>
        <v>122820</v>
      </c>
      <c r="D37" s="37">
        <f>C37</f>
        <v>122820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IFERROR(VLOOKUP(A38,[4]Pomorski!$A$7:$D$100,4,FALSE),0)</f>
        <v>44590</v>
      </c>
      <c r="D38" s="37">
        <f>C38</f>
        <v>44590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910577</v>
      </c>
      <c r="D40" s="32">
        <f>D11+D13+D24+D30</f>
        <v>910577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35398</v>
      </c>
      <c r="D41" s="71">
        <f>D42+D43+D44+D52+D54+D60+D61+D59</f>
        <v>35916</v>
      </c>
      <c r="E41" s="68">
        <f t="shared" si="0"/>
        <v>518</v>
      </c>
      <c r="F41" s="86">
        <f t="shared" si="1"/>
        <v>1.0145999999999999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IFERROR(VLOOKUP(A42,[4]Pomorski!$A$7:$D$100,4,FALSE),0)</f>
        <v>1574</v>
      </c>
      <c r="D42" s="33">
        <f>C42+50</f>
        <v>1624</v>
      </c>
      <c r="E42" s="38">
        <f t="shared" si="0"/>
        <v>50</v>
      </c>
      <c r="F42" s="39">
        <f t="shared" si="1"/>
        <v>1.0318000000000001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IFERROR(VLOOKUP(A43,[4]Pomorski!$A$7:$D$100,4,FALSE),0)</f>
        <v>3542</v>
      </c>
      <c r="D43" s="33">
        <f>C43+31</f>
        <v>3573</v>
      </c>
      <c r="E43" s="38">
        <f t="shared" si="0"/>
        <v>31</v>
      </c>
      <c r="F43" s="39">
        <f t="shared" si="1"/>
        <v>1.0087999999999999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158</v>
      </c>
      <c r="D44" s="33">
        <f>D45+D47+D48+D49+D50+D51</f>
        <v>159</v>
      </c>
      <c r="E44" s="38">
        <f t="shared" si="0"/>
        <v>1</v>
      </c>
      <c r="F44" s="39">
        <f t="shared" si="1"/>
        <v>1.0063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IFERROR(VLOOKUP(A45,[4]Pomorski!$A$7:$D$100,4,FALSE),0)</f>
        <v>52</v>
      </c>
      <c r="D45" s="33">
        <f t="shared" ref="D45:D60" si="3">C45</f>
        <v>52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IFERROR(VLOOKUP(A46,[4]Pomorski!$A$7:$D$100,4,FALSE),0)</f>
        <v>52</v>
      </c>
      <c r="D46" s="33">
        <f t="shared" si="3"/>
        <v>52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IFERROR(VLOOKUP(A47,[4]Pomorski!$A$7:$D$100,4,FALSE),0)</f>
        <v>40</v>
      </c>
      <c r="D47" s="33">
        <f t="shared" si="3"/>
        <v>40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IFERROR(VLOOKUP(A48,[4]Pomorski!$A$7:$D$100,4,FALSE),0)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IFERROR(VLOOKUP(A49,[4]Pomorski!$A$7:$D$100,4,FALSE),0)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IFERROR(VLOOKUP(A50,[4]Pomorski!$A$7:$D$100,4,FALSE),0)</f>
        <v>46</v>
      </c>
      <c r="D50" s="33">
        <f>C50+1</f>
        <v>47</v>
      </c>
      <c r="E50" s="38">
        <f t="shared" si="0"/>
        <v>1</v>
      </c>
      <c r="F50" s="39">
        <f t="shared" si="1"/>
        <v>1.0217000000000001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IFERROR(VLOOKUP(A51,[4]Pomorski!$A$7:$D$100,4,FALSE),0)</f>
        <v>20</v>
      </c>
      <c r="D51" s="33">
        <f t="shared" si="3"/>
        <v>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IFERROR(VLOOKUP(A52,[4]Pomorski!$A$7:$D$100,4,FALSE),0)</f>
        <v>22181</v>
      </c>
      <c r="D52" s="33">
        <f>C52+360</f>
        <v>22541</v>
      </c>
      <c r="E52" s="38">
        <f t="shared" si="0"/>
        <v>360</v>
      </c>
      <c r="F52" s="39">
        <f t="shared" si="1"/>
        <v>1.0162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IFERROR(VLOOKUP(A53,[4]Pomorski!$A$7:$D$100,4,FALSE),0)</f>
        <v>100</v>
      </c>
      <c r="D53" s="33">
        <f t="shared" si="3"/>
        <v>100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4966</v>
      </c>
      <c r="D54" s="29">
        <f>D55+D56+D57+D58</f>
        <v>5040</v>
      </c>
      <c r="E54" s="38">
        <f t="shared" si="0"/>
        <v>74</v>
      </c>
      <c r="F54" s="39">
        <f t="shared" si="1"/>
        <v>1.0148999999999999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IFERROR(VLOOKUP(A55,[4]Pomorski!$A$7:$D$100,4,FALSE),0)</f>
        <v>3809</v>
      </c>
      <c r="D55" s="33">
        <f>C55+58</f>
        <v>3867</v>
      </c>
      <c r="E55" s="38">
        <f t="shared" si="0"/>
        <v>58</v>
      </c>
      <c r="F55" s="39">
        <f t="shared" si="1"/>
        <v>1.0152000000000001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IFERROR(VLOOKUP(A56,[4]Pomorski!$A$7:$D$100,4,FALSE),0)</f>
        <v>544</v>
      </c>
      <c r="D56" s="33">
        <f>C56+6</f>
        <v>550</v>
      </c>
      <c r="E56" s="38">
        <f t="shared" si="0"/>
        <v>6</v>
      </c>
      <c r="F56" s="39">
        <f t="shared" si="1"/>
        <v>1.0109999999999999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IFERROR(VLOOKUP(A58,[4]Pomorski!$A$7:$D$100,4,FALSE),0)</f>
        <v>613</v>
      </c>
      <c r="D58" s="33">
        <f>C58+10</f>
        <v>623</v>
      </c>
      <c r="E58" s="38">
        <f t="shared" si="0"/>
        <v>10</v>
      </c>
      <c r="F58" s="39">
        <f t="shared" si="1"/>
        <v>1.0163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IFERROR(VLOOKUP(A59,[4]Pomorski!$A$7:$D$100,4,FALSE),0)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IFERROR(VLOOKUP(A60,[4]Pomorski!$A$7:$D$100,4,FALSE),0)</f>
        <v>2700</v>
      </c>
      <c r="D60" s="33">
        <f t="shared" si="3"/>
        <v>2700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IFERROR(VLOOKUP(A61,[4]Pomorski!$A$7:$D$100,4,FALSE),0)</f>
        <v>277</v>
      </c>
      <c r="D61" s="33">
        <f>C61+2</f>
        <v>279</v>
      </c>
      <c r="E61" s="38">
        <f t="shared" si="0"/>
        <v>2</v>
      </c>
      <c r="F61" s="39">
        <f t="shared" si="1"/>
        <v>1.0072000000000001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3760</v>
      </c>
      <c r="D62" s="87">
        <f>D63+D64+D65+D66</f>
        <v>3760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IFERROR(VLOOKUP(A63,[4]Pomorski!$A$7:$D$100,4,FALSE),0)</f>
        <v>57</v>
      </c>
      <c r="D63" s="33">
        <f>C63</f>
        <v>57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IFERROR(VLOOKUP(A64,[4]Pomorski!$A$7:$D$100,4,FALSE),0)</f>
        <v>2503</v>
      </c>
      <c r="D64" s="33">
        <f>C64</f>
        <v>2503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IFERROR(VLOOKUP(A66,[4]Pomorski!$A$7:$D$100,4,FALSE),0)</f>
        <v>1200</v>
      </c>
      <c r="D66" s="33">
        <f>C66</f>
        <v>1200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IFERROR(VLOOKUP(A67,[4]Pomorski!$A$7:$D$100,4,FALSE),0)</f>
        <v>1000</v>
      </c>
      <c r="D67" s="87">
        <f>C67</f>
        <v>1000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70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10234305</v>
      </c>
      <c r="D6" s="83">
        <f>D7+D8+D9+D14+D15+D16+D17+D18+D19+D20+D21+D22+D23+D24+D28+D29+D31+D32+D33+D34+D35</f>
        <v>10733502</v>
      </c>
      <c r="E6" s="68">
        <f>IF(C6=D6,"-",D6-C6)</f>
        <v>499197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IFERROR(VLOOKUP(A7,[4]Śląski!$A$7:$D$100,4,FALSE),0)</f>
        <v>1324160</v>
      </c>
      <c r="D7" s="13">
        <f>C7+130000</f>
        <v>1454160</v>
      </c>
      <c r="E7" s="38">
        <f t="shared" ref="E7:E67" si="0">IF(C7=D7,"-",D7-C7)</f>
        <v>130000</v>
      </c>
      <c r="F7" s="39">
        <f t="shared" ref="F7:F67" si="1">IF(C7=0,"-",D7/C7)</f>
        <v>1.0982000000000001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IFERROR(VLOOKUP(A8,[4]Śląski!$A$7:$D$100,4,FALSE),0)</f>
        <v>711203</v>
      </c>
      <c r="D8" s="13">
        <f>C8+10708</f>
        <v>721911</v>
      </c>
      <c r="E8" s="38">
        <f t="shared" si="0"/>
        <v>10708</v>
      </c>
      <c r="F8" s="39">
        <f t="shared" si="1"/>
        <v>1.0150999999999999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IFERROR(VLOOKUP(A9,[4]Śląski!$A$7:$D$100,4,FALSE),0)</f>
        <v>5149814</v>
      </c>
      <c r="D9" s="13">
        <f>C9+270468-28000</f>
        <v>5392282</v>
      </c>
      <c r="E9" s="38">
        <f t="shared" si="0"/>
        <v>242468</v>
      </c>
      <c r="F9" s="39">
        <f t="shared" si="1"/>
        <v>1.0470999999999999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IFERROR(VLOOKUP(A10,[4]Śląski!$A$7:$D$100,4,FALSE),0)</f>
        <v>491402</v>
      </c>
      <c r="D10" s="13">
        <f>C10+28797-28000</f>
        <v>492199</v>
      </c>
      <c r="E10" s="38">
        <f t="shared" si="0"/>
        <v>797</v>
      </c>
      <c r="F10" s="39">
        <f t="shared" si="1"/>
        <v>1.0016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IFERROR(VLOOKUP(A11,[4]Śląski!$A$7:$D$100,4,FALSE),0)</f>
        <v>438335</v>
      </c>
      <c r="D11" s="13">
        <f>C11+28000-28000</f>
        <v>438335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IFERROR(VLOOKUP(A12,[4]Śląski!$A$7:$D$100,4,FALSE),0)</f>
        <v>180391</v>
      </c>
      <c r="D12" s="13">
        <f>C12+1507</f>
        <v>181898</v>
      </c>
      <c r="E12" s="38">
        <f t="shared" si="0"/>
        <v>1507</v>
      </c>
      <c r="F12" s="39">
        <f t="shared" si="1"/>
        <v>1.0084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IFERROR(VLOOKUP(A13,[4]Śląski!$A$7:$D$100,4,FALSE),0)</f>
        <v>80062</v>
      </c>
      <c r="D13" s="13">
        <f t="shared" ref="D13:D34" si="2">C13</f>
        <v>80062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IFERROR(VLOOKUP(A14,[4]Śląski!$A$7:$D$100,4,FALSE),0)</f>
        <v>368858</v>
      </c>
      <c r="D14" s="13">
        <f>C14+13111</f>
        <v>381969</v>
      </c>
      <c r="E14" s="38">
        <f t="shared" si="0"/>
        <v>13111</v>
      </c>
      <c r="F14" s="39">
        <f t="shared" si="1"/>
        <v>1.0355000000000001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IFERROR(VLOOKUP(A15,[4]Śląski!$A$7:$D$100,4,FALSE),0)</f>
        <v>334294</v>
      </c>
      <c r="D15" s="13">
        <f>C15+7499</f>
        <v>341793</v>
      </c>
      <c r="E15" s="38">
        <f t="shared" si="0"/>
        <v>7499</v>
      </c>
      <c r="F15" s="39">
        <f t="shared" si="1"/>
        <v>1.0224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IFERROR(VLOOKUP(A16,[4]Śląski!$A$7:$D$100,4,FALSE),0)</f>
        <v>287100</v>
      </c>
      <c r="D16" s="13">
        <f>C16+9284</f>
        <v>296384</v>
      </c>
      <c r="E16" s="38">
        <f t="shared" si="0"/>
        <v>9284</v>
      </c>
      <c r="F16" s="39">
        <f t="shared" si="1"/>
        <v>1.0323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IFERROR(VLOOKUP(A17,[4]Śląski!$A$7:$D$100,4,FALSE),0)</f>
        <v>87225</v>
      </c>
      <c r="D17" s="13">
        <f>C17+1297</f>
        <v>88522</v>
      </c>
      <c r="E17" s="38">
        <f t="shared" si="0"/>
        <v>1297</v>
      </c>
      <c r="F17" s="39">
        <f t="shared" si="1"/>
        <v>1.0148999999999999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IFERROR(VLOOKUP(A18,[4]Śląski!$A$7:$D$100,4,FALSE),0)</f>
        <v>201952</v>
      </c>
      <c r="D18" s="13">
        <f>C18+2995</f>
        <v>204947</v>
      </c>
      <c r="E18" s="38">
        <f t="shared" si="0"/>
        <v>2995</v>
      </c>
      <c r="F18" s="39">
        <f t="shared" si="1"/>
        <v>1.0147999999999999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IFERROR(VLOOKUP(A19,[4]Śląski!$A$7:$D$100,4,FALSE),0)</f>
        <v>85014</v>
      </c>
      <c r="D19" s="13">
        <f>C19+682</f>
        <v>85696</v>
      </c>
      <c r="E19" s="38">
        <f t="shared" si="0"/>
        <v>682</v>
      </c>
      <c r="F19" s="39">
        <f t="shared" si="1"/>
        <v>1.008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IFERROR(VLOOKUP(A20,[4]Śląski!$A$7:$D$100,4,FALSE),0)</f>
        <v>7908</v>
      </c>
      <c r="D20" s="13">
        <f>C20+114</f>
        <v>8022</v>
      </c>
      <c r="E20" s="38">
        <f t="shared" si="0"/>
        <v>114</v>
      </c>
      <c r="F20" s="39">
        <f t="shared" si="1"/>
        <v>1.0144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IFERROR(VLOOKUP(A21,[4]Śląski!$A$7:$D$100,4,FALSE),0)</f>
        <v>32446</v>
      </c>
      <c r="D21" s="13">
        <f>C21+504</f>
        <v>32950</v>
      </c>
      <c r="E21" s="38">
        <f t="shared" si="0"/>
        <v>504</v>
      </c>
      <c r="F21" s="39">
        <f t="shared" si="1"/>
        <v>1.0155000000000001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IFERROR(VLOOKUP(A22,[4]Śląski!$A$7:$D$100,4,FALSE),0)</f>
        <v>270995</v>
      </c>
      <c r="D22" s="13">
        <f>C22+4039</f>
        <v>275034</v>
      </c>
      <c r="E22" s="38">
        <f t="shared" si="0"/>
        <v>4039</v>
      </c>
      <c r="F22" s="39">
        <f t="shared" si="1"/>
        <v>1.0148999999999999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IFERROR(VLOOKUP(A23,[4]Śląski!$A$7:$D$100,4,FALSE),0)</f>
        <v>173250</v>
      </c>
      <c r="D23" s="13">
        <f t="shared" si="2"/>
        <v>173250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IFERROR(VLOOKUP(A24,[4]Śląski!$A$7:$D$100,4,FALSE),0)</f>
        <v>1072687</v>
      </c>
      <c r="D24" s="13">
        <f>C24+48000-48000</f>
        <v>1072687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IFERROR(VLOOKUP(A25,[4]Śląski!$A$7:$D$100,4,FALSE),0)</f>
        <v>1070597</v>
      </c>
      <c r="D25" s="13">
        <f>C25+48000-48000</f>
        <v>1070597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IFERROR(VLOOKUP(A26,[4]Śląski!$A$7:$D$100,4,FALSE),0)</f>
        <v>1529</v>
      </c>
      <c r="D26" s="13">
        <f t="shared" si="2"/>
        <v>1529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IFERROR(VLOOKUP(A27,[4]Śląski!$A$7:$D$100,4,FALSE),0)</f>
        <v>561</v>
      </c>
      <c r="D27" s="13">
        <f t="shared" si="2"/>
        <v>561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IFERROR(VLOOKUP(A29,[4]Śląski!$A$7:$D$100,4,FALSE),0)</f>
        <v>0</v>
      </c>
      <c r="D29" s="13">
        <f>C29+48000+28000</f>
        <v>76000</v>
      </c>
      <c r="E29" s="38">
        <f t="shared" si="0"/>
        <v>76000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IFERROR(VLOOKUP(A32,[4]Śląski!$A$7:$D$100,4,FALSE),0)</f>
        <v>86777</v>
      </c>
      <c r="D32" s="13">
        <f t="shared" si="2"/>
        <v>86777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IFERROR(VLOOKUP(A34,[4]Śląski!$A$7:$D$100,4,FALSE),0)</f>
        <v>3000</v>
      </c>
      <c r="D34" s="13">
        <f t="shared" si="2"/>
        <v>3000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IFERROR(VLOOKUP(A35,[4]Śląski!$A$7:$D$100,4,FALSE),0)</f>
        <v>37622</v>
      </c>
      <c r="D35" s="13">
        <f>C35+496</f>
        <v>38118</v>
      </c>
      <c r="E35" s="38">
        <f>IF(C35=D35,"-",D35-C35)</f>
        <v>496</v>
      </c>
      <c r="F35" s="39">
        <f>IF(C35=0,"-",D35/C35)</f>
        <v>1.0132000000000001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IFERROR(VLOOKUP(A36,[4]Śląski!$A$7:$D$100,4,FALSE),0)</f>
        <v>127</v>
      </c>
      <c r="D36" s="37">
        <f>C36</f>
        <v>127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IFERROR(VLOOKUP(A37,[4]Śląski!$A$7:$D$100,4,FALSE),0)</f>
        <v>228757</v>
      </c>
      <c r="D37" s="37">
        <f>C37</f>
        <v>228757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IFERROR(VLOOKUP(A38,[4]Śląski!$A$7:$D$100,4,FALSE),0)</f>
        <v>93414</v>
      </c>
      <c r="D38" s="37">
        <f>C38</f>
        <v>93414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IFERROR(VLOOKUP(A39,[4]Śląski!$A$7:$D$100,4,FALSE),0)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1591084</v>
      </c>
      <c r="D40" s="32">
        <f>D11+D13+D24+D30</f>
        <v>1591084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71756</v>
      </c>
      <c r="D41" s="71">
        <f>D42+D43+D44+D52+D54+D60+D61+D59</f>
        <v>72516</v>
      </c>
      <c r="E41" s="68">
        <f t="shared" si="0"/>
        <v>760</v>
      </c>
      <c r="F41" s="86">
        <f t="shared" si="1"/>
        <v>1.0105999999999999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IFERROR(VLOOKUP(A42,[4]Śląski!$A$7:$D$100,4,FALSE),0)</f>
        <v>2536</v>
      </c>
      <c r="D42" s="33">
        <f>C42+50</f>
        <v>2586</v>
      </c>
      <c r="E42" s="38">
        <f t="shared" si="0"/>
        <v>50</v>
      </c>
      <c r="F42" s="39">
        <f t="shared" si="1"/>
        <v>1.0197000000000001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IFERROR(VLOOKUP(A43,[4]Śląski!$A$7:$D$100,4,FALSE),0)</f>
        <v>9316</v>
      </c>
      <c r="D43" s="33">
        <f>C43+31</f>
        <v>9347</v>
      </c>
      <c r="E43" s="38">
        <f t="shared" si="0"/>
        <v>31</v>
      </c>
      <c r="F43" s="39">
        <f t="shared" si="1"/>
        <v>1.0033000000000001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486</v>
      </c>
      <c r="D44" s="33">
        <f>D45+D47+D48+D49+D50+D51</f>
        <v>487</v>
      </c>
      <c r="E44" s="38">
        <f t="shared" si="0"/>
        <v>1</v>
      </c>
      <c r="F44" s="39">
        <f t="shared" si="1"/>
        <v>1.0021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IFERROR(VLOOKUP(A45,[4]Śląski!$A$7:$D$100,4,FALSE),0)</f>
        <v>127</v>
      </c>
      <c r="D45" s="33">
        <f t="shared" ref="D45:D60" si="3">C45</f>
        <v>127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IFERROR(VLOOKUP(A46,[4]Śląski!$A$7:$D$100,4,FALSE),0)</f>
        <v>127</v>
      </c>
      <c r="D46" s="33">
        <f t="shared" si="3"/>
        <v>127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IFERROR(VLOOKUP(A47,[4]Śląski!$A$7:$D$100,4,FALSE),0)</f>
        <v>10</v>
      </c>
      <c r="D47" s="33">
        <f t="shared" si="3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IFERROR(VLOOKUP(A48,[4]Śląski!$A$7:$D$100,4,FALSE),0)</f>
        <v>7</v>
      </c>
      <c r="D48" s="33">
        <f t="shared" si="3"/>
        <v>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IFERROR(VLOOKUP(A49,[4]Śląski!$A$7:$D$100,4,FALSE),0)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IFERROR(VLOOKUP(A50,[4]Śląski!$A$7:$D$100,4,FALSE),0)</f>
        <v>317</v>
      </c>
      <c r="D50" s="33">
        <f>C50+1</f>
        <v>318</v>
      </c>
      <c r="E50" s="38">
        <f t="shared" si="0"/>
        <v>1</v>
      </c>
      <c r="F50" s="39">
        <f t="shared" si="1"/>
        <v>1.0032000000000001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IFERROR(VLOOKUP(A51,[4]Śląski!$A$7:$D$100,4,FALSE),0)</f>
        <v>25</v>
      </c>
      <c r="D51" s="33">
        <f t="shared" si="3"/>
        <v>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IFERROR(VLOOKUP(A52,[4]Śląski!$A$7:$D$100,4,FALSE),0)</f>
        <v>43798</v>
      </c>
      <c r="D52" s="33">
        <f>C52+560</f>
        <v>44358</v>
      </c>
      <c r="E52" s="38">
        <f t="shared" si="0"/>
        <v>560</v>
      </c>
      <c r="F52" s="39">
        <f t="shared" si="1"/>
        <v>1.0127999999999999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IFERROR(VLOOKUP(A53,[4]Śląski!$A$7:$D$100,4,FALSE),0)</f>
        <v>250</v>
      </c>
      <c r="D53" s="33">
        <f t="shared" si="3"/>
        <v>250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9784</v>
      </c>
      <c r="D54" s="29">
        <f>D55+D56+D57+D58</f>
        <v>9900</v>
      </c>
      <c r="E54" s="38">
        <f t="shared" si="0"/>
        <v>116</v>
      </c>
      <c r="F54" s="39">
        <f t="shared" si="1"/>
        <v>1.0119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IFERROR(VLOOKUP(A55,[4]Śląski!$A$7:$D$100,4,FALSE),0)</f>
        <v>7515</v>
      </c>
      <c r="D55" s="33">
        <f>C55+91</f>
        <v>7606</v>
      </c>
      <c r="E55" s="38">
        <f t="shared" si="0"/>
        <v>91</v>
      </c>
      <c r="F55" s="39">
        <f t="shared" si="1"/>
        <v>1.0121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IFERROR(VLOOKUP(A56,[4]Śląski!$A$7:$D$100,4,FALSE),0)</f>
        <v>1073</v>
      </c>
      <c r="D56" s="33">
        <f>C56+10</f>
        <v>1083</v>
      </c>
      <c r="E56" s="38">
        <f t="shared" si="0"/>
        <v>10</v>
      </c>
      <c r="F56" s="39">
        <f t="shared" si="1"/>
        <v>1.0093000000000001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IFERROR(VLOOKUP(A57,[4]Śląski!$A$7:$D$100,4,FALSE),0)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IFERROR(VLOOKUP(A58,[4]Śląski!$A$7:$D$100,4,FALSE),0)</f>
        <v>1196</v>
      </c>
      <c r="D58" s="33">
        <f>C58+15</f>
        <v>1211</v>
      </c>
      <c r="E58" s="38">
        <f t="shared" si="0"/>
        <v>15</v>
      </c>
      <c r="F58" s="39">
        <f t="shared" si="1"/>
        <v>1.0125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IFERROR(VLOOKUP(A59,[4]Śląski!$A$7:$D$100,4,FALSE),0)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IFERROR(VLOOKUP(A60,[4]Śląski!$A$7:$D$100,4,FALSE),0)</f>
        <v>5520</v>
      </c>
      <c r="D60" s="33">
        <f t="shared" si="3"/>
        <v>5520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IFERROR(VLOOKUP(A61,[4]Śląski!$A$7:$D$100,4,FALSE),0)</f>
        <v>316</v>
      </c>
      <c r="D61" s="33">
        <f>C61+2</f>
        <v>318</v>
      </c>
      <c r="E61" s="38">
        <f t="shared" si="0"/>
        <v>2</v>
      </c>
      <c r="F61" s="39">
        <f t="shared" si="1"/>
        <v>1.0063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2440</v>
      </c>
      <c r="D62" s="87">
        <f>D63+D64+D65+D66</f>
        <v>2440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IFERROR(VLOOKUP(A63,[4]Śląski!$A$7:$D$100,4,FALSE),0)</f>
        <v>300</v>
      </c>
      <c r="D63" s="33">
        <f>C63</f>
        <v>300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IFERROR(VLOOKUP(A64,[4]Śląski!$A$7:$D$100,4,FALSE),0)</f>
        <v>1210</v>
      </c>
      <c r="D64" s="33">
        <f>C64</f>
        <v>1210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IFERROR(VLOOKUP(A65,[4]Śląski!$A$7:$D$100,4,FALSE),0)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IFERROR(VLOOKUP(A66,[4]Śląski!$A$7:$D$100,4,FALSE),0)</f>
        <v>930</v>
      </c>
      <c r="D66" s="33">
        <f>C66</f>
        <v>930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IFERROR(VLOOKUP(A67,[4]Śląski!$A$7:$D$100,4,FALSE),0)</f>
        <v>460</v>
      </c>
      <c r="D67" s="87">
        <f>C67</f>
        <v>460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00B050"/>
  </sheetPr>
  <dimension ref="A1:F67"/>
  <sheetViews>
    <sheetView showGridLines="0" view="pageBreakPreview" zoomScale="55" zoomScaleNormal="70" zoomScaleSheetLayoutView="55" workbookViewId="0">
      <pane ySplit="6" topLeftCell="A7" activePane="bottomLeft" state="frozen"/>
      <selection activeCell="J19" sqref="J19"/>
      <selection pane="bottomLef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71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2803776</v>
      </c>
      <c r="D6" s="83">
        <f>D7+D8+D9+D14+D15+D16+D17+D18+D19+D20+D21+D22+D23+D24+D28+D29+D31+D32+D33+D34+D35</f>
        <v>2941588</v>
      </c>
      <c r="E6" s="68">
        <f>IF(C6=D6,"-",D6-C6)</f>
        <v>137812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IFERROR(VLOOKUP(A7,[4]Świętokrzyski!$A$7:$D$100,4,FALSE),0)</f>
        <v>339036</v>
      </c>
      <c r="D7" s="13">
        <f>C7+46000</f>
        <v>385036</v>
      </c>
      <c r="E7" s="38">
        <f t="shared" ref="E7:E67" si="0">IF(C7=D7,"-",D7-C7)</f>
        <v>46000</v>
      </c>
      <c r="F7" s="39">
        <f t="shared" ref="F7:F67" si="1">IF(C7=0,"-",D7/C7)</f>
        <v>1.1356999999999999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IFERROR(VLOOKUP(A8,[4]Świętokrzyski!$A$7:$D$100,4,FALSE),0)</f>
        <v>160656</v>
      </c>
      <c r="D8" s="13">
        <f>C8+2000</f>
        <v>162656</v>
      </c>
      <c r="E8" s="38">
        <f t="shared" si="0"/>
        <v>2000</v>
      </c>
      <c r="F8" s="39">
        <f t="shared" si="1"/>
        <v>1.0124</v>
      </c>
    </row>
    <row r="9" spans="1:6" ht="33" customHeight="1" x14ac:dyDescent="0.2">
      <c r="A9" s="92" t="s">
        <v>3</v>
      </c>
      <c r="B9" s="14" t="s">
        <v>114</v>
      </c>
      <c r="C9" s="31">
        <f>IFERROR(VLOOKUP(A9,[4]Świętokrzyski!$A$7:$D$100,4,FALSE),0)</f>
        <v>1518287</v>
      </c>
      <c r="D9" s="13">
        <f>C9+55012</f>
        <v>1573299</v>
      </c>
      <c r="E9" s="38">
        <f t="shared" si="0"/>
        <v>55012</v>
      </c>
      <c r="F9" s="39">
        <f t="shared" si="1"/>
        <v>1.0362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IFERROR(VLOOKUP(A10,[4]Świętokrzyski!$A$7:$D$100,4,FALSE),0)</f>
        <v>125456</v>
      </c>
      <c r="D10" s="13">
        <f t="shared" ref="D10:D34" si="2">C10</f>
        <v>125456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IFERROR(VLOOKUP(A11,[4]Świętokrzyski!$A$7:$D$100,4,FALSE),0)</f>
        <v>110000</v>
      </c>
      <c r="D11" s="13">
        <f t="shared" si="2"/>
        <v>110000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IFERROR(VLOOKUP(A12,[4]Świętokrzyski!$A$7:$D$100,4,FALSE),0)</f>
        <v>58031</v>
      </c>
      <c r="D12" s="13">
        <f t="shared" si="2"/>
        <v>58031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IFERROR(VLOOKUP(A13,[4]Świętokrzyski!$A$7:$D$100,4,FALSE),0)</f>
        <v>27000</v>
      </c>
      <c r="D13" s="13">
        <f t="shared" si="2"/>
        <v>27000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IFERROR(VLOOKUP(A14,[4]Świętokrzyski!$A$7:$D$100,4,FALSE),0)</f>
        <v>98196</v>
      </c>
      <c r="D14" s="13">
        <f>C14+1200</f>
        <v>99396</v>
      </c>
      <c r="E14" s="38">
        <f t="shared" si="0"/>
        <v>1200</v>
      </c>
      <c r="F14" s="39">
        <f t="shared" si="1"/>
        <v>1.0122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IFERROR(VLOOKUP(A15,[4]Świętokrzyski!$A$7:$D$100,4,FALSE),0)</f>
        <v>87969</v>
      </c>
      <c r="D15" s="13">
        <f>C15+10000</f>
        <v>97969</v>
      </c>
      <c r="E15" s="38">
        <f t="shared" si="0"/>
        <v>10000</v>
      </c>
      <c r="F15" s="39">
        <f t="shared" si="1"/>
        <v>1.1136999999999999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IFERROR(VLOOKUP(A16,[4]Świętokrzyski!$A$7:$D$100,4,FALSE),0)</f>
        <v>64294</v>
      </c>
      <c r="D16" s="13">
        <f>C16+700</f>
        <v>64994</v>
      </c>
      <c r="E16" s="38">
        <f t="shared" si="0"/>
        <v>700</v>
      </c>
      <c r="F16" s="39">
        <f t="shared" si="1"/>
        <v>1.0108999999999999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IFERROR(VLOOKUP(A17,[4]Świętokrzyski!$A$7:$D$100,4,FALSE),0)</f>
        <v>32089</v>
      </c>
      <c r="D17" s="13">
        <f>C17+400</f>
        <v>32489</v>
      </c>
      <c r="E17" s="38">
        <f t="shared" si="0"/>
        <v>400</v>
      </c>
      <c r="F17" s="39">
        <f t="shared" si="1"/>
        <v>1.0125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IFERROR(VLOOKUP(A18,[4]Świętokrzyski!$A$7:$D$100,4,FALSE),0)</f>
        <v>67721</v>
      </c>
      <c r="D18" s="13">
        <f t="shared" si="2"/>
        <v>67721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IFERROR(VLOOKUP(A19,[4]Świętokrzyski!$A$7:$D$100,4,FALSE),0)</f>
        <v>31006</v>
      </c>
      <c r="D19" s="13">
        <f t="shared" si="2"/>
        <v>31006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IFERROR(VLOOKUP(A20,[4]Świętokrzyski!$A$7:$D$100,4,FALSE),0)</f>
        <v>1743</v>
      </c>
      <c r="D20" s="13">
        <f t="shared" si="2"/>
        <v>1743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IFERROR(VLOOKUP(A21,[4]Świętokrzyski!$A$7:$D$100,4,FALSE),0)</f>
        <v>6308</v>
      </c>
      <c r="D21" s="13">
        <f t="shared" si="2"/>
        <v>6308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IFERROR(VLOOKUP(A22,[4]Świętokrzyski!$A$7:$D$100,4,FALSE),0)</f>
        <v>55644</v>
      </c>
      <c r="D22" s="13">
        <f>C22+11000</f>
        <v>66644</v>
      </c>
      <c r="E22" s="38">
        <f t="shared" si="0"/>
        <v>11000</v>
      </c>
      <c r="F22" s="39">
        <f t="shared" si="1"/>
        <v>1.1977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IFERROR(VLOOKUP(A23,[4]Świętokrzyski!$A$7:$D$100,4,FALSE),0)</f>
        <v>38000</v>
      </c>
      <c r="D23" s="13">
        <f t="shared" si="2"/>
        <v>38000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IFERROR(VLOOKUP(A24,[4]Świętokrzyski!$A$7:$D$100,4,FALSE),0)</f>
        <v>268961</v>
      </c>
      <c r="D24" s="13">
        <f>C24+10000-10000</f>
        <v>268961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IFERROR(VLOOKUP(A25,[4]Świętokrzyski!$A$7:$D$100,4,FALSE),0)</f>
        <v>268171</v>
      </c>
      <c r="D25" s="13">
        <f>C25+10000-10000</f>
        <v>268171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IFERROR(VLOOKUP(A26,[4]Świętokrzyski!$A$7:$D$100,4,FALSE),0)</f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IFERROR(VLOOKUP(A27,[4]Świętokrzyski!$A$7:$D$100,4,FALSE),0)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IFERROR(VLOOKUP(A28,[4]Świętokrzyski!$A$7:$D$100,4,FALSE),0)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IFERROR(VLOOKUP(A29,[4]Świętokrzyski!$A$7:$D$100,4,FALSE),0)</f>
        <v>8957</v>
      </c>
      <c r="D29" s="13">
        <f>C29+10000</f>
        <v>18957</v>
      </c>
      <c r="E29" s="38">
        <f t="shared" si="0"/>
        <v>10000</v>
      </c>
      <c r="F29" s="39">
        <f t="shared" si="1"/>
        <v>2.1164000000000001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IFERROR(VLOOKUP(A30,[4]Świętokrzyski!$A$7:$D$100,4,FALSE),0)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IFERROR(VLOOKUP(A31,[4]Świętokrzyski!$A$7:$D$100,4,FALSE),0)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IFERROR(VLOOKUP(A32,[4]Świętokrzyski!$A$7:$D$100,4,FALSE),0)</f>
        <v>14650</v>
      </c>
      <c r="D32" s="13">
        <f>C32</f>
        <v>14650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IFERROR(VLOOKUP(A33,[4]Świętokrzyski!$A$7:$D$100,4,FALSE),0)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IFERROR(VLOOKUP(A34,[4]Świętokrzyski!$A$7:$D$100,4,FALSE),0)</f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IFERROR(VLOOKUP(A35,[4]Świętokrzyski!$A$7:$D$100,4,FALSE),0)</f>
        <v>9730</v>
      </c>
      <c r="D35" s="13">
        <f>C35+1500</f>
        <v>11230</v>
      </c>
      <c r="E35" s="38">
        <f>IF(C35=D35,"-",D35-C35)</f>
        <v>1500</v>
      </c>
      <c r="F35" s="39">
        <f>IF(C35=0,"-",D35/C35)</f>
        <v>1.1541999999999999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IFERROR(VLOOKUP(A36,[4]Świętokrzyski!$A$7:$D$100,4,FALSE),0)</f>
        <v>442</v>
      </c>
      <c r="D36" s="37">
        <f>C36</f>
        <v>442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IFERROR(VLOOKUP(A37,[4]Świętokrzyski!$A$7:$D$100,4,FALSE),0)</f>
        <v>66230</v>
      </c>
      <c r="D37" s="37">
        <f>C37</f>
        <v>66230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IFERROR(VLOOKUP(A38,[4]Świętokrzyski!$A$7:$D$100,4,FALSE),0)</f>
        <v>25000</v>
      </c>
      <c r="D38" s="37">
        <f>C38</f>
        <v>25000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IFERROR(VLOOKUP(A39,[4]Świętokrzyski!$A$7:$D$100,4,FALSE),0)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405961</v>
      </c>
      <c r="D40" s="32">
        <f>D11+D13+D24+D30</f>
        <v>405961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19688</v>
      </c>
      <c r="D41" s="71">
        <f>D42+D43+D44+D52+D54+D60+D61+D59</f>
        <v>20098</v>
      </c>
      <c r="E41" s="68">
        <f t="shared" si="0"/>
        <v>410</v>
      </c>
      <c r="F41" s="86">
        <f t="shared" si="1"/>
        <v>1.0207999999999999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IFERROR(VLOOKUP(A42,[4]Świętokrzyski!$A$7:$D$100,4,FALSE),0)</f>
        <v>647</v>
      </c>
      <c r="D42" s="33">
        <f>C42+50</f>
        <v>697</v>
      </c>
      <c r="E42" s="38">
        <f t="shared" si="0"/>
        <v>50</v>
      </c>
      <c r="F42" s="39">
        <f t="shared" si="1"/>
        <v>1.0772999999999999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IFERROR(VLOOKUP(A43,[4]Świętokrzyski!$A$7:$D$100,4,FALSE),0)</f>
        <v>2493</v>
      </c>
      <c r="D43" s="33">
        <f>C43+31</f>
        <v>2524</v>
      </c>
      <c r="E43" s="38">
        <f t="shared" si="0"/>
        <v>31</v>
      </c>
      <c r="F43" s="39">
        <f t="shared" si="1"/>
        <v>1.0124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61</v>
      </c>
      <c r="D44" s="33">
        <f>D45+D47+D48+D49+D50+D51</f>
        <v>62</v>
      </c>
      <c r="E44" s="38">
        <f t="shared" si="0"/>
        <v>1</v>
      </c>
      <c r="F44" s="39">
        <f t="shared" si="1"/>
        <v>1.0164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IFERROR(VLOOKUP(A45,[4]Świętokrzyski!$A$7:$D$100,4,FALSE),0)</f>
        <v>7</v>
      </c>
      <c r="D45" s="33">
        <f t="shared" ref="D45:D60" si="3">C45</f>
        <v>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IFERROR(VLOOKUP(A46,[4]Świętokrzyski!$A$7:$D$100,4,FALSE),0)</f>
        <v>7</v>
      </c>
      <c r="D46" s="33">
        <f t="shared" si="3"/>
        <v>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IFERROR(VLOOKUP(A47,[4]Świętokrzyski!$A$7:$D$100,4,FALSE),0)</f>
        <v>17</v>
      </c>
      <c r="D47" s="33">
        <f t="shared" si="3"/>
        <v>17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IFERROR(VLOOKUP(A48,[4]Świętokrzyski!$A$7:$D$100,4,FALSE),0)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IFERROR(VLOOKUP(A49,[4]Świętokrzyski!$A$7:$D$100,4,FALSE),0)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IFERROR(VLOOKUP(A50,[4]Świętokrzyski!$A$7:$D$100,4,FALSE),0)</f>
        <v>10</v>
      </c>
      <c r="D50" s="33">
        <f>C50+1</f>
        <v>11</v>
      </c>
      <c r="E50" s="38">
        <f t="shared" si="0"/>
        <v>1</v>
      </c>
      <c r="F50" s="39">
        <f t="shared" si="1"/>
        <v>1.1000000000000001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IFERROR(VLOOKUP(A51,[4]Świętokrzyski!$A$7:$D$100,4,FALSE),0)</f>
        <v>27</v>
      </c>
      <c r="D51" s="33">
        <f t="shared" si="3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IFERROR(VLOOKUP(A52,[4]Świętokrzyski!$A$7:$D$100,4,FALSE),0)</f>
        <v>12691</v>
      </c>
      <c r="D52" s="33">
        <f>C52+270</f>
        <v>12961</v>
      </c>
      <c r="E52" s="38">
        <f t="shared" si="0"/>
        <v>270</v>
      </c>
      <c r="F52" s="39">
        <f t="shared" si="1"/>
        <v>1.0213000000000001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IFERROR(VLOOKUP(A53,[4]Świętokrzyski!$A$7:$D$100,4,FALSE),0)</f>
        <v>44</v>
      </c>
      <c r="D53" s="33">
        <f t="shared" si="3"/>
        <v>44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2841</v>
      </c>
      <c r="D54" s="29">
        <f>D55+D56+D57+D58</f>
        <v>2897</v>
      </c>
      <c r="E54" s="38">
        <f t="shared" si="0"/>
        <v>56</v>
      </c>
      <c r="F54" s="39">
        <f t="shared" si="1"/>
        <v>1.0197000000000001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IFERROR(VLOOKUP(A55,[4]Świętokrzyski!$A$7:$D$100,4,FALSE),0)</f>
        <v>2180</v>
      </c>
      <c r="D55" s="33">
        <f>C55+44</f>
        <v>2224</v>
      </c>
      <c r="E55" s="38">
        <f t="shared" si="0"/>
        <v>44</v>
      </c>
      <c r="F55" s="39">
        <f t="shared" si="1"/>
        <v>1.0202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IFERROR(VLOOKUP(A56,[4]Świętokrzyski!$A$7:$D$100,4,FALSE),0)</f>
        <v>311</v>
      </c>
      <c r="D56" s="33">
        <f>C56+5</f>
        <v>316</v>
      </c>
      <c r="E56" s="38">
        <f t="shared" si="0"/>
        <v>5</v>
      </c>
      <c r="F56" s="39">
        <f t="shared" si="1"/>
        <v>1.0161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IFERROR(VLOOKUP(A57,[4]Świętokrzyski!$A$7:$D$100,4,FALSE),0)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IFERROR(VLOOKUP(A58,[4]Świętokrzyski!$A$7:$D$100,4,FALSE),0)</f>
        <v>350</v>
      </c>
      <c r="D58" s="33">
        <f>C58+7</f>
        <v>357</v>
      </c>
      <c r="E58" s="38">
        <f t="shared" si="0"/>
        <v>7</v>
      </c>
      <c r="F58" s="39">
        <f t="shared" si="1"/>
        <v>1.02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IFERROR(VLOOKUP(A59,[4]Świętokrzyski!$A$7:$D$100,4,FALSE),0)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IFERROR(VLOOKUP(A60,[4]Świętokrzyski!$A$7:$D$100,4,FALSE),0)</f>
        <v>766</v>
      </c>
      <c r="D60" s="33">
        <f t="shared" si="3"/>
        <v>766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IFERROR(VLOOKUP(A61,[4]Świętokrzyski!$A$7:$D$100,4,FALSE),0)</f>
        <v>189</v>
      </c>
      <c r="D61" s="33">
        <f>C61+2</f>
        <v>191</v>
      </c>
      <c r="E61" s="38">
        <f t="shared" si="0"/>
        <v>2</v>
      </c>
      <c r="F61" s="39">
        <f t="shared" si="1"/>
        <v>1.0105999999999999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11241</v>
      </c>
      <c r="D62" s="87">
        <f>D63+D64+D65+D66</f>
        <v>11241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IFERROR(VLOOKUP(A63,[4]Świętokrzyski!$A$7:$D$100,4,FALSE),0)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IFERROR(VLOOKUP(A64,[4]Świętokrzyski!$A$7:$D$100,4,FALSE),0)</f>
        <v>10340</v>
      </c>
      <c r="D64" s="33">
        <f>C64</f>
        <v>10340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IFERROR(VLOOKUP(A65,[4]Świętokrzyski!$A$7:$D$100,4,FALSE),0)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IFERROR(VLOOKUP(A66,[4]Świętokrzyski!$A$7:$D$100,4,FALSE),0)</f>
        <v>901</v>
      </c>
      <c r="D66" s="33">
        <f>C66</f>
        <v>901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IFERROR(VLOOKUP(A67,[4]Świętokrzyski!$A$7:$D$100,4,FALSE),0)</f>
        <v>1712</v>
      </c>
      <c r="D67" s="87">
        <f>C67</f>
        <v>1712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72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2964133</v>
      </c>
      <c r="D6" s="83">
        <f>D7+D8+D9+D14+D15+D16+D17+D18+D19+D20+D21+D22+D23+D24+D28+D29+D31+D32+D33+D34+D35</f>
        <v>3108426</v>
      </c>
      <c r="E6" s="68">
        <f>IF(C6=D6,"-",D6-C6)</f>
        <v>144293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IFERROR(VLOOKUP(A7,[4]WarmińskoMazurski!$A$7:$D$100,4,FALSE),0)</f>
        <v>393091</v>
      </c>
      <c r="D7" s="13">
        <f>C7+46430</f>
        <v>439521</v>
      </c>
      <c r="E7" s="38">
        <f t="shared" ref="E7:E67" si="0">IF(C7=D7,"-",D7-C7)</f>
        <v>46430</v>
      </c>
      <c r="F7" s="39">
        <f t="shared" ref="F7:F67" si="1">IF(C7=0,"-",D7/C7)</f>
        <v>1.1181000000000001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IFERROR(VLOOKUP(A8,[4]WarmińskoMazurski!$A$7:$D$100,4,FALSE),0)</f>
        <v>161075</v>
      </c>
      <c r="D8" s="13">
        <f>C8+2280</f>
        <v>163355</v>
      </c>
      <c r="E8" s="38">
        <f t="shared" si="0"/>
        <v>2280</v>
      </c>
      <c r="F8" s="39">
        <f t="shared" si="1"/>
        <v>1.0142</v>
      </c>
    </row>
    <row r="9" spans="1:6" ht="33" customHeight="1" x14ac:dyDescent="0.2">
      <c r="A9" s="92" t="s">
        <v>3</v>
      </c>
      <c r="B9" s="14" t="s">
        <v>114</v>
      </c>
      <c r="C9" s="31">
        <f>IFERROR(VLOOKUP(A9,[4]WarmińskoMazurski!$A$7:$D$100,4,FALSE),0)</f>
        <v>1538199</v>
      </c>
      <c r="D9" s="13">
        <f>C9+77218-9875-506</f>
        <v>1605036</v>
      </c>
      <c r="E9" s="38">
        <f t="shared" si="0"/>
        <v>66837</v>
      </c>
      <c r="F9" s="39">
        <f t="shared" si="1"/>
        <v>1.0435000000000001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IFERROR(VLOOKUP(A10,[4]WarmińskoMazurski!$A$7:$D$100,4,FALSE),0)</f>
        <v>125670</v>
      </c>
      <c r="D10" s="13">
        <f>C10+10022-9875</f>
        <v>125817</v>
      </c>
      <c r="E10" s="38">
        <f t="shared" si="0"/>
        <v>147</v>
      </c>
      <c r="F10" s="39">
        <f t="shared" si="1"/>
        <v>1.0012000000000001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IFERROR(VLOOKUP(A11,[4]WarmińskoMazurski!$A$7:$D$100,4,FALSE),0)</f>
        <v>114445</v>
      </c>
      <c r="D11" s="13">
        <f>C11+9875-9875</f>
        <v>114445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IFERROR(VLOOKUP(A12,[4]WarmińskoMazurski!$A$7:$D$100,4,FALSE),0)</f>
        <v>50387</v>
      </c>
      <c r="D12" s="13">
        <f>C12+852-506</f>
        <v>50733</v>
      </c>
      <c r="E12" s="38">
        <f t="shared" si="0"/>
        <v>346</v>
      </c>
      <c r="F12" s="39">
        <f t="shared" si="1"/>
        <v>1.0068999999999999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IFERROR(VLOOKUP(A13,[4]WarmińskoMazurski!$A$7:$D$100,4,FALSE),0)</f>
        <v>23015</v>
      </c>
      <c r="D13" s="13">
        <f>C13+506-506</f>
        <v>23015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IFERROR(VLOOKUP(A14,[4]WarmińskoMazurski!$A$7:$D$100,4,FALSE),0)</f>
        <v>108100</v>
      </c>
      <c r="D14" s="13">
        <f>C14+1263</f>
        <v>109363</v>
      </c>
      <c r="E14" s="38">
        <f t="shared" si="0"/>
        <v>1263</v>
      </c>
      <c r="F14" s="39">
        <f t="shared" si="1"/>
        <v>1.0117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IFERROR(VLOOKUP(A15,[4]WarmińskoMazurski!$A$7:$D$100,4,FALSE),0)</f>
        <v>89812</v>
      </c>
      <c r="D15" s="13">
        <f>C15+2370</f>
        <v>92182</v>
      </c>
      <c r="E15" s="38">
        <f t="shared" si="0"/>
        <v>2370</v>
      </c>
      <c r="F15" s="39">
        <f t="shared" si="1"/>
        <v>1.0264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IFERROR(VLOOKUP(A16,[4]WarmińskoMazurski!$A$7:$D$100,4,FALSE),0)</f>
        <v>53212</v>
      </c>
      <c r="D16" s="13">
        <f>C16+2682</f>
        <v>55894</v>
      </c>
      <c r="E16" s="38">
        <f t="shared" si="0"/>
        <v>2682</v>
      </c>
      <c r="F16" s="39">
        <f t="shared" si="1"/>
        <v>1.0504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IFERROR(VLOOKUP(A17,[4]WarmińskoMazurski!$A$7:$D$100,4,FALSE),0)</f>
        <v>25465</v>
      </c>
      <c r="D17" s="13">
        <f>C17+330</f>
        <v>25795</v>
      </c>
      <c r="E17" s="38">
        <f t="shared" si="0"/>
        <v>330</v>
      </c>
      <c r="F17" s="39">
        <f t="shared" si="1"/>
        <v>1.0129999999999999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IFERROR(VLOOKUP(A18,[4]WarmińskoMazurski!$A$7:$D$100,4,FALSE),0)</f>
        <v>81440</v>
      </c>
      <c r="D18" s="13">
        <f>C18+1170</f>
        <v>82610</v>
      </c>
      <c r="E18" s="38">
        <f t="shared" si="0"/>
        <v>1170</v>
      </c>
      <c r="F18" s="39">
        <f t="shared" si="1"/>
        <v>1.0144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IFERROR(VLOOKUP(A19,[4]WarmińskoMazurski!$A$7:$D$100,4,FALSE),0)</f>
        <v>23335</v>
      </c>
      <c r="D19" s="13">
        <f>C19+67</f>
        <v>23402</v>
      </c>
      <c r="E19" s="38">
        <f t="shared" si="0"/>
        <v>67</v>
      </c>
      <c r="F19" s="39">
        <f t="shared" si="1"/>
        <v>1.0028999999999999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IFERROR(VLOOKUP(A20,[4]WarmińskoMazurski!$A$7:$D$100,4,FALSE),0)</f>
        <v>2992</v>
      </c>
      <c r="D20" s="13">
        <f>C20+44</f>
        <v>3036</v>
      </c>
      <c r="E20" s="38">
        <f t="shared" si="0"/>
        <v>44</v>
      </c>
      <c r="F20" s="39">
        <f t="shared" si="1"/>
        <v>1.0146999999999999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IFERROR(VLOOKUP(A21,[4]WarmińskoMazurski!$A$7:$D$100,4,FALSE),0)</f>
        <v>7039</v>
      </c>
      <c r="D21" s="13">
        <f>C21+80</f>
        <v>7119</v>
      </c>
      <c r="E21" s="38">
        <f t="shared" si="0"/>
        <v>80</v>
      </c>
      <c r="F21" s="39">
        <f t="shared" si="1"/>
        <v>1.0114000000000001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IFERROR(VLOOKUP(A22,[4]WarmińskoMazurski!$A$7:$D$100,4,FALSE),0)</f>
        <v>69748</v>
      </c>
      <c r="D22" s="13">
        <f>C22+918</f>
        <v>70666</v>
      </c>
      <c r="E22" s="38">
        <f t="shared" si="0"/>
        <v>918</v>
      </c>
      <c r="F22" s="39">
        <f t="shared" si="1"/>
        <v>1.0132000000000001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IFERROR(VLOOKUP(A23,[4]WarmińskoMazurski!$A$7:$D$100,4,FALSE),0)</f>
        <v>44027</v>
      </c>
      <c r="D23" s="13">
        <f t="shared" ref="D23:D34" si="2">C23</f>
        <v>44027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IFERROR(VLOOKUP(A24,[4]WarmińskoMazurski!$A$7:$D$100,4,FALSE),0)</f>
        <v>288622</v>
      </c>
      <c r="D24" s="13">
        <f>C24+9061-9061</f>
        <v>288622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IFERROR(VLOOKUP(A25,[4]WarmińskoMazurski!$A$7:$D$100,4,FALSE),0)</f>
        <v>287952</v>
      </c>
      <c r="D25" s="13">
        <f>C25+9061-9061</f>
        <v>287952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IFERROR(VLOOKUP(A26,[4]WarmińskoMazurski!$A$7:$D$100,4,FALSE),0)</f>
        <v>520</v>
      </c>
      <c r="D26" s="13">
        <f>C26</f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IFERROR(VLOOKUP(A27,[4]WarmińskoMazurski!$A$7:$D$100,4,FALSE),0)</f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IFERROR(VLOOKUP(A28,[4]WarmińskoMazurski!$A$7:$D$100,4,FALSE),0)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IFERROR(VLOOKUP(A29,[4]WarmińskoMazurski!$A$7:$D$100,4,FALSE),0)</f>
        <v>0</v>
      </c>
      <c r="D29" s="13">
        <f>C29+9061+9875+506</f>
        <v>19442</v>
      </c>
      <c r="E29" s="38">
        <f t="shared" si="0"/>
        <v>19442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IFERROR(VLOOKUP(A30,[4]WarmińskoMazurski!$A$7:$D$100,4,FALSE),0)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IFERROR(VLOOKUP(A31,[4]WarmińskoMazurski!$A$7:$D$100,4,FALSE),0)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IFERROR(VLOOKUP(A32,[4]WarmińskoMazurski!$A$7:$D$100,4,FALSE),0)</f>
        <v>64776</v>
      </c>
      <c r="D32" s="13">
        <f t="shared" si="2"/>
        <v>64776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IFERROR(VLOOKUP(A33,[4]WarmińskoMazurski!$A$7:$D$100,4,FALSE),0)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IFERROR(VLOOKUP(A34,[4]WarmińskoMazurski!$A$7:$D$100,4,FALSE),0)</f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IFERROR(VLOOKUP(A35,[4]WarmińskoMazurski!$A$7:$D$100,4,FALSE),0)</f>
        <v>12700</v>
      </c>
      <c r="D35" s="13">
        <f>C35+380</f>
        <v>13080</v>
      </c>
      <c r="E35" s="38">
        <f>IF(C35=D35,"-",D35-C35)</f>
        <v>380</v>
      </c>
      <c r="F35" s="39">
        <f>IF(C35=0,"-",D35/C35)</f>
        <v>1.0299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IFERROR(VLOOKUP(A36,[4]WarmińskoMazurski!$A$7:$D$100,4,FALSE),0)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IFERROR(VLOOKUP(A37,[4]WarmińskoMazurski!$A$7:$D$100,4,FALSE),0)</f>
        <v>108501</v>
      </c>
      <c r="D37" s="37">
        <f>C37</f>
        <v>108501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IFERROR(VLOOKUP(A38,[4]WarmińskoMazurski!$A$7:$D$100,4,FALSE),0)</f>
        <v>25677</v>
      </c>
      <c r="D38" s="37">
        <f>C38</f>
        <v>25677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IFERROR(VLOOKUP(A39,[4]WarmińskoMazurski!$A$7:$D$100,4,FALSE),0)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426082</v>
      </c>
      <c r="D40" s="32">
        <f>D11+D13+D24+D30</f>
        <v>426082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24603</v>
      </c>
      <c r="D41" s="71">
        <f>D42+D43+D44+D52+D54+D60+D61+D59</f>
        <v>25023</v>
      </c>
      <c r="E41" s="68">
        <f t="shared" si="0"/>
        <v>420</v>
      </c>
      <c r="F41" s="86">
        <f t="shared" si="1"/>
        <v>1.0170999999999999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IFERROR(VLOOKUP(A42,[4]WarmińskoMazurski!$A$7:$D$100,4,FALSE),0)</f>
        <v>807</v>
      </c>
      <c r="D42" s="33">
        <f>C42+50</f>
        <v>857</v>
      </c>
      <c r="E42" s="38">
        <f t="shared" si="0"/>
        <v>50</v>
      </c>
      <c r="F42" s="39">
        <f t="shared" si="1"/>
        <v>1.0620000000000001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IFERROR(VLOOKUP(A43,[4]WarmińskoMazurski!$A$7:$D$100,4,FALSE),0)</f>
        <v>3274</v>
      </c>
      <c r="D43" s="33">
        <f>C43+31</f>
        <v>3305</v>
      </c>
      <c r="E43" s="38">
        <f t="shared" si="0"/>
        <v>31</v>
      </c>
      <c r="F43" s="39">
        <f t="shared" si="1"/>
        <v>1.0095000000000001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144</v>
      </c>
      <c r="D44" s="33">
        <f>D45+D47+D48+D49+D50+D51</f>
        <v>145</v>
      </c>
      <c r="E44" s="38">
        <f t="shared" si="0"/>
        <v>1</v>
      </c>
      <c r="F44" s="39">
        <f t="shared" si="1"/>
        <v>1.0068999999999999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IFERROR(VLOOKUP(A45,[4]WarmińskoMazurski!$A$7:$D$100,4,FALSE),0)</f>
        <v>32</v>
      </c>
      <c r="D45" s="33">
        <f t="shared" ref="D45:D60" si="3">C45</f>
        <v>32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IFERROR(VLOOKUP(A46,[4]WarmińskoMazurski!$A$7:$D$100,4,FALSE),0)</f>
        <v>29</v>
      </c>
      <c r="D46" s="33">
        <f t="shared" si="3"/>
        <v>29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IFERROR(VLOOKUP(A47,[4]WarmińskoMazurski!$A$7:$D$100,4,FALSE),0)</f>
        <v>11</v>
      </c>
      <c r="D47" s="33">
        <f t="shared" si="3"/>
        <v>11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IFERROR(VLOOKUP(A48,[4]WarmińskoMazurski!$A$7:$D$100,4,FALSE),0)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IFERROR(VLOOKUP(A49,[4]WarmińskoMazurski!$A$7:$D$100,4,FALSE),0)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IFERROR(VLOOKUP(A50,[4]WarmińskoMazurski!$A$7:$D$100,4,FALSE),0)</f>
        <v>98</v>
      </c>
      <c r="D50" s="33">
        <f>C50+1</f>
        <v>99</v>
      </c>
      <c r="E50" s="38">
        <f t="shared" si="0"/>
        <v>1</v>
      </c>
      <c r="F50" s="39">
        <f t="shared" si="1"/>
        <v>1.0102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IFERROR(VLOOKUP(A51,[4]WarmińskoMazurski!$A$7:$D$100,4,FALSE),0)</f>
        <v>3</v>
      </c>
      <c r="D51" s="33">
        <f t="shared" si="3"/>
        <v>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IFERROR(VLOOKUP(A52,[4]WarmińskoMazurski!$A$7:$D$100,4,FALSE),0)</f>
        <v>13446</v>
      </c>
      <c r="D52" s="33">
        <f>C52+278</f>
        <v>13724</v>
      </c>
      <c r="E52" s="38">
        <f t="shared" si="0"/>
        <v>278</v>
      </c>
      <c r="F52" s="39">
        <f t="shared" si="1"/>
        <v>1.0206999999999999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IFERROR(VLOOKUP(A53,[4]WarmińskoMazurski!$A$7:$D$100,4,FALSE),0)</f>
        <v>30</v>
      </c>
      <c r="D53" s="33">
        <f t="shared" si="3"/>
        <v>30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2999</v>
      </c>
      <c r="D54" s="29">
        <f>D55+D56+D57+D58</f>
        <v>3057</v>
      </c>
      <c r="E54" s="38">
        <f t="shared" si="0"/>
        <v>58</v>
      </c>
      <c r="F54" s="39">
        <f t="shared" si="1"/>
        <v>1.0193000000000001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IFERROR(VLOOKUP(A55,[4]WarmińskoMazurski!$A$7:$D$100,4,FALSE),0)</f>
        <v>2308</v>
      </c>
      <c r="D55" s="33">
        <f>C55+45</f>
        <v>2353</v>
      </c>
      <c r="E55" s="38">
        <f t="shared" si="0"/>
        <v>45</v>
      </c>
      <c r="F55" s="39">
        <f t="shared" si="1"/>
        <v>1.0195000000000001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IFERROR(VLOOKUP(A56,[4]WarmińskoMazurski!$A$7:$D$100,4,FALSE),0)</f>
        <v>330</v>
      </c>
      <c r="D56" s="33">
        <f>C56+5</f>
        <v>335</v>
      </c>
      <c r="E56" s="38">
        <f t="shared" si="0"/>
        <v>5</v>
      </c>
      <c r="F56" s="39">
        <f t="shared" si="1"/>
        <v>1.0152000000000001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IFERROR(VLOOKUP(A57,[4]WarmińskoMazurski!$A$7:$D$100,4,FALSE),0)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IFERROR(VLOOKUP(A58,[4]WarmińskoMazurski!$A$7:$D$100,4,FALSE),0)</f>
        <v>361</v>
      </c>
      <c r="D58" s="33">
        <f>C58+8</f>
        <v>369</v>
      </c>
      <c r="E58" s="38">
        <f t="shared" si="0"/>
        <v>8</v>
      </c>
      <c r="F58" s="39">
        <f t="shared" si="1"/>
        <v>1.0222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IFERROR(VLOOKUP(A59,[4]WarmińskoMazurski!$A$7:$D$100,4,FALSE),0)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IFERROR(VLOOKUP(A60,[4]WarmińskoMazurski!$A$7:$D$100,4,FALSE),0)</f>
        <v>3760</v>
      </c>
      <c r="D60" s="33">
        <f t="shared" si="3"/>
        <v>3760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IFERROR(VLOOKUP(A61,[4]WarmińskoMazurski!$A$7:$D$100,4,FALSE),0)</f>
        <v>173</v>
      </c>
      <c r="D61" s="33">
        <f>C61+2</f>
        <v>175</v>
      </c>
      <c r="E61" s="38">
        <f t="shared" si="0"/>
        <v>2</v>
      </c>
      <c r="F61" s="39">
        <f t="shared" si="1"/>
        <v>1.0116000000000001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1205</v>
      </c>
      <c r="D62" s="87">
        <f>D63+D64+D65+D66</f>
        <v>1205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IFERROR(VLOOKUP(A63,[4]WarmińskoMazurski!$A$7:$D$100,4,FALSE),0)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IFERROR(VLOOKUP(A64,[4]WarmińskoMazurski!$A$7:$D$100,4,FALSE),0)</f>
        <v>380</v>
      </c>
      <c r="D64" s="33">
        <f>C64</f>
        <v>380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IFERROR(VLOOKUP(A65,[4]WarmińskoMazurski!$A$7:$D$100,4,FALSE),0)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IFERROR(VLOOKUP(A66,[4]WarmińskoMazurski!$A$7:$D$100,4,FALSE),0)</f>
        <v>825</v>
      </c>
      <c r="D66" s="33">
        <f>C66</f>
        <v>825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IFERROR(VLOOKUP(A67,[4]WarmińskoMazurski!$A$7:$D$100,4,FALSE),0)</f>
        <v>45</v>
      </c>
      <c r="D67" s="87">
        <f>C67</f>
        <v>45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73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7551038</v>
      </c>
      <c r="D6" s="83">
        <f>D7+D8+D9+D14+D15+D16+D17+D18+D19+D20+D21+D22+D23+D24+D28+D29+D31+D32+D33+D34+D35</f>
        <v>7923707</v>
      </c>
      <c r="E6" s="68">
        <f>IF(C6=D6,"-",D6-C6)</f>
        <v>372669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IFERROR(VLOOKUP(A7,[4]Wielkopolski!$A$7:$D$100,4,FALSE),0)</f>
        <v>1046439</v>
      </c>
      <c r="D7" s="13">
        <f>C7+79000</f>
        <v>1125439</v>
      </c>
      <c r="E7" s="38">
        <f t="shared" ref="E7:E67" si="0">IF(C7=D7,"-",D7-C7)</f>
        <v>79000</v>
      </c>
      <c r="F7" s="39">
        <f t="shared" ref="F7:F67" si="1">IF(C7=0,"-",D7/C7)</f>
        <v>1.0754999999999999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IFERROR(VLOOKUP(A8,[4]Wielkopolski!$A$7:$D$100,4,FALSE),0)</f>
        <v>475000</v>
      </c>
      <c r="D8" s="13">
        <f>C8+37185</f>
        <v>512185</v>
      </c>
      <c r="E8" s="38">
        <f t="shared" si="0"/>
        <v>37185</v>
      </c>
      <c r="F8" s="39">
        <f t="shared" si="1"/>
        <v>1.0783</v>
      </c>
    </row>
    <row r="9" spans="1:6" ht="33" customHeight="1" x14ac:dyDescent="0.2">
      <c r="A9" s="92" t="s">
        <v>3</v>
      </c>
      <c r="B9" s="14" t="s">
        <v>114</v>
      </c>
      <c r="C9" s="31">
        <f>IFERROR(VLOOKUP(A9,[4]Wielkopolski!$A$7:$D$100,4,FALSE),0)</f>
        <v>3905877</v>
      </c>
      <c r="D9" s="13">
        <f>C9+193956-23000-2000</f>
        <v>4074833</v>
      </c>
      <c r="E9" s="38">
        <f t="shared" si="0"/>
        <v>168956</v>
      </c>
      <c r="F9" s="39">
        <f t="shared" si="1"/>
        <v>1.0432999999999999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IFERROR(VLOOKUP(A10,[4]Wielkopolski!$A$7:$D$100,4,FALSE),0)</f>
        <v>400897</v>
      </c>
      <c r="D10" s="13">
        <f>C10+27481-23000</f>
        <v>405378</v>
      </c>
      <c r="E10" s="38">
        <f t="shared" si="0"/>
        <v>4481</v>
      </c>
      <c r="F10" s="39">
        <f t="shared" si="1"/>
        <v>1.0112000000000001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IFERROR(VLOOKUP(A11,[4]Wielkopolski!$A$7:$D$100,4,FALSE),0)</f>
        <v>367908</v>
      </c>
      <c r="D11" s="13">
        <f>C11+23000-23000</f>
        <v>367908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IFERROR(VLOOKUP(A12,[4]Wielkopolski!$A$7:$D$100,4,FALSE),0)</f>
        <v>146805</v>
      </c>
      <c r="D12" s="13">
        <f>C12+5106-2000</f>
        <v>149911</v>
      </c>
      <c r="E12" s="38">
        <f t="shared" si="0"/>
        <v>3106</v>
      </c>
      <c r="F12" s="39">
        <f t="shared" si="1"/>
        <v>1.0212000000000001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IFERROR(VLOOKUP(A13,[4]Wielkopolski!$A$7:$D$100,4,FALSE),0)</f>
        <v>71967</v>
      </c>
      <c r="D13" s="13">
        <f>C13+2000-2000</f>
        <v>71967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IFERROR(VLOOKUP(A14,[4]Wielkopolski!$A$7:$D$100,4,FALSE),0)</f>
        <v>272062</v>
      </c>
      <c r="D14" s="13">
        <f>C14+6701</f>
        <v>278763</v>
      </c>
      <c r="E14" s="38">
        <f t="shared" si="0"/>
        <v>6701</v>
      </c>
      <c r="F14" s="39">
        <f t="shared" si="1"/>
        <v>1.0246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IFERROR(VLOOKUP(A15,[4]Wielkopolski!$A$7:$D$100,4,FALSE),0)</f>
        <v>224428</v>
      </c>
      <c r="D15" s="13">
        <f>C15+18261</f>
        <v>242689</v>
      </c>
      <c r="E15" s="38">
        <f t="shared" si="0"/>
        <v>18261</v>
      </c>
      <c r="F15" s="39">
        <f t="shared" si="1"/>
        <v>1.0813999999999999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IFERROR(VLOOKUP(A16,[4]Wielkopolski!$A$7:$D$100,4,FALSE),0)</f>
        <v>105919</v>
      </c>
      <c r="D16" s="13">
        <f>C16+7313</f>
        <v>113232</v>
      </c>
      <c r="E16" s="38">
        <f t="shared" si="0"/>
        <v>7313</v>
      </c>
      <c r="F16" s="39">
        <f t="shared" si="1"/>
        <v>1.069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IFERROR(VLOOKUP(A17,[4]Wielkopolski!$A$7:$D$100,4,FALSE),0)</f>
        <v>71045</v>
      </c>
      <c r="D17" s="13">
        <f>C17+6970</f>
        <v>78015</v>
      </c>
      <c r="E17" s="38">
        <f t="shared" si="0"/>
        <v>6970</v>
      </c>
      <c r="F17" s="39">
        <f t="shared" si="1"/>
        <v>1.0981000000000001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IFERROR(VLOOKUP(A18,[4]Wielkopolski!$A$7:$D$100,4,FALSE),0)</f>
        <v>150463</v>
      </c>
      <c r="D18" s="13">
        <f>C18+2241</f>
        <v>152704</v>
      </c>
      <c r="E18" s="38">
        <f t="shared" si="0"/>
        <v>2241</v>
      </c>
      <c r="F18" s="39">
        <f t="shared" si="1"/>
        <v>1.0148999999999999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IFERROR(VLOOKUP(A19,[4]Wielkopolski!$A$7:$D$100,4,FALSE),0)</f>
        <v>70500</v>
      </c>
      <c r="D19" s="13">
        <f>C19+1058</f>
        <v>71558</v>
      </c>
      <c r="E19" s="38">
        <f t="shared" si="0"/>
        <v>1058</v>
      </c>
      <c r="F19" s="39">
        <f t="shared" si="1"/>
        <v>1.0149999999999999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IFERROR(VLOOKUP(A20,[4]Wielkopolski!$A$7:$D$100,4,FALSE),0)</f>
        <v>3900</v>
      </c>
      <c r="D20" s="13">
        <f>C20+59</f>
        <v>3959</v>
      </c>
      <c r="E20" s="38">
        <f t="shared" si="0"/>
        <v>59</v>
      </c>
      <c r="F20" s="39">
        <f t="shared" si="1"/>
        <v>1.0150999999999999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IFERROR(VLOOKUP(A21,[4]Wielkopolski!$A$7:$D$100,4,FALSE),0)</f>
        <v>20093</v>
      </c>
      <c r="D21" s="13">
        <f>C21+294</f>
        <v>20387</v>
      </c>
      <c r="E21" s="38">
        <f t="shared" si="0"/>
        <v>294</v>
      </c>
      <c r="F21" s="39">
        <f t="shared" si="1"/>
        <v>1.0145999999999999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IFERROR(VLOOKUP(A22,[4]Wielkopolski!$A$7:$D$100,4,FALSE),0)</f>
        <v>200772</v>
      </c>
      <c r="D22" s="13">
        <f>C22+18018</f>
        <v>218790</v>
      </c>
      <c r="E22" s="38">
        <f t="shared" si="0"/>
        <v>18018</v>
      </c>
      <c r="F22" s="39">
        <f t="shared" si="1"/>
        <v>1.0896999999999999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IFERROR(VLOOKUP(A23,[4]Wielkopolski!$A$7:$D$100,4,FALSE),0)</f>
        <v>107729</v>
      </c>
      <c r="D23" s="13">
        <f>C23+1613</f>
        <v>109342</v>
      </c>
      <c r="E23" s="38">
        <f t="shared" si="0"/>
        <v>1613</v>
      </c>
      <c r="F23" s="39">
        <f t="shared" si="1"/>
        <v>1.0149999999999999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IFERROR(VLOOKUP(A24,[4]Wielkopolski!$A$7:$D$100,4,FALSE),0)</f>
        <v>837687</v>
      </c>
      <c r="D24" s="13">
        <f t="shared" ref="D24:D34" si="2">C24</f>
        <v>837687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IFERROR(VLOOKUP(A25,[4]Wielkopolski!$A$7:$D$100,4,FALSE),0)</f>
        <v>834687</v>
      </c>
      <c r="D25" s="13">
        <f t="shared" si="2"/>
        <v>834687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IFERROR(VLOOKUP(A26,[4]Wielkopolski!$A$7:$D$100,4,FALSE),0)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IFERROR(VLOOKUP(A27,[4]Wielkopolski!$A$7:$D$100,4,FALSE),0)</f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IFERROR(VLOOKUP(A28,[4]Wielkopolski!$A$7:$D$100,4,FALSE),0)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IFERROR(VLOOKUP(A29,[4]Wielkopolski!$A$7:$D$100,4,FALSE),0)</f>
        <v>0</v>
      </c>
      <c r="D29" s="13">
        <f>C29+23000+2000</f>
        <v>25000</v>
      </c>
      <c r="E29" s="38">
        <f t="shared" si="0"/>
        <v>25000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IFERROR(VLOOKUP(A30,[4]Wielkopolski!$A$7:$D$100,4,FALSE),0)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IFERROR(VLOOKUP(A31,[4]Wielkopolski!$A$7:$D$100,4,FALSE),0)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IFERROR(VLOOKUP(A32,[4]Wielkopolski!$A$7:$D$100,4,FALSE),0)</f>
        <v>47524</v>
      </c>
      <c r="D32" s="13">
        <f t="shared" si="2"/>
        <v>47524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IFERROR(VLOOKUP(A33,[4]Wielkopolski!$A$7:$D$100,4,FALSE),0)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IFERROR(VLOOKUP(A34,[4]Wielkopolski!$A$7:$D$100,4,FALSE),0)</f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IFERROR(VLOOKUP(A35,[4]Wielkopolski!$A$7:$D$100,4,FALSE),0)</f>
        <v>6600</v>
      </c>
      <c r="D35" s="13">
        <f t="shared" ref="D35" si="3">C35</f>
        <v>6600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IFERROR(VLOOKUP(A36,[4]Wielkopolski!$A$7:$D$100,4,FALSE),0)</f>
        <v>134</v>
      </c>
      <c r="D36" s="37">
        <f>C36</f>
        <v>134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IFERROR(VLOOKUP(A37,[4]Wielkopolski!$A$7:$D$100,4,FALSE),0)</f>
        <v>170369</v>
      </c>
      <c r="D37" s="37">
        <f>C37</f>
        <v>170369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IFERROR(VLOOKUP(A38,[4]Wielkopolski!$A$7:$D$100,4,FALSE),0)</f>
        <v>59695</v>
      </c>
      <c r="D38" s="37">
        <f>C38</f>
        <v>59695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IFERROR(VLOOKUP(A39,[4]Wielkopolski!$A$7:$D$100,4,FALSE),0)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1277562</v>
      </c>
      <c r="D40" s="32">
        <f>D11+D13+D24+D30</f>
        <v>1277562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49052</v>
      </c>
      <c r="D41" s="71">
        <f>D42+D43+D44+D52+D54+D60+D61+D59</f>
        <v>49615</v>
      </c>
      <c r="E41" s="68">
        <f t="shared" si="0"/>
        <v>563</v>
      </c>
      <c r="F41" s="86">
        <f t="shared" si="1"/>
        <v>1.0115000000000001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IFERROR(VLOOKUP(A42,[4]Wielkopolski!$A$7:$D$100,4,FALSE),0)</f>
        <v>2470</v>
      </c>
      <c r="D42" s="33">
        <f>C42+50</f>
        <v>2520</v>
      </c>
      <c r="E42" s="38">
        <f t="shared" si="0"/>
        <v>50</v>
      </c>
      <c r="F42" s="39">
        <f t="shared" si="1"/>
        <v>1.0202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IFERROR(VLOOKUP(A43,[4]Wielkopolski!$A$7:$D$100,4,FALSE),0)</f>
        <v>8842</v>
      </c>
      <c r="D43" s="33">
        <f>C43+31</f>
        <v>8873</v>
      </c>
      <c r="E43" s="38">
        <f t="shared" si="0"/>
        <v>31</v>
      </c>
      <c r="F43" s="39">
        <f t="shared" si="1"/>
        <v>1.0035000000000001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580</v>
      </c>
      <c r="D44" s="33">
        <f>D45+D47+D48+D49+D50+D51</f>
        <v>581</v>
      </c>
      <c r="E44" s="38">
        <f t="shared" si="0"/>
        <v>1</v>
      </c>
      <c r="F44" s="39">
        <f t="shared" si="1"/>
        <v>1.0017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IFERROR(VLOOKUP(A45,[4]Wielkopolski!$A$7:$D$100,4,FALSE),0)</f>
        <v>54</v>
      </c>
      <c r="D45" s="33">
        <f t="shared" ref="D45:D60" si="4">C45</f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IFERROR(VLOOKUP(A46,[4]Wielkopolski!$A$7:$D$100,4,FALSE),0)</f>
        <v>54</v>
      </c>
      <c r="D46" s="33">
        <f t="shared" si="4"/>
        <v>54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IFERROR(VLOOKUP(A47,[4]Wielkopolski!$A$7:$D$100,4,FALSE),0)</f>
        <v>252</v>
      </c>
      <c r="D47" s="33">
        <f t="shared" si="4"/>
        <v>252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IFERROR(VLOOKUP(A48,[4]Wielkopolski!$A$7:$D$100,4,FALSE),0)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IFERROR(VLOOKUP(A49,[4]Wielkopolski!$A$7:$D$100,4,FALSE),0)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IFERROR(VLOOKUP(A50,[4]Wielkopolski!$A$7:$D$100,4,FALSE),0)</f>
        <v>268</v>
      </c>
      <c r="D50" s="33">
        <f>C50+1</f>
        <v>269</v>
      </c>
      <c r="E50" s="38">
        <f t="shared" si="0"/>
        <v>1</v>
      </c>
      <c r="F50" s="39">
        <f t="shared" si="1"/>
        <v>1.0037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IFERROR(VLOOKUP(A51,[4]Wielkopolski!$A$7:$D$100,4,FALSE),0)</f>
        <v>6</v>
      </c>
      <c r="D51" s="33">
        <f t="shared" si="4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IFERROR(VLOOKUP(A52,[4]Wielkopolski!$A$7:$D$100,4,FALSE),0)</f>
        <v>26817</v>
      </c>
      <c r="D52" s="33">
        <f>C52+397</f>
        <v>27214</v>
      </c>
      <c r="E52" s="38">
        <f t="shared" si="0"/>
        <v>397</v>
      </c>
      <c r="F52" s="39">
        <f t="shared" si="1"/>
        <v>1.0147999999999999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IFERROR(VLOOKUP(A53,[4]Wielkopolski!$A$7:$D$100,4,FALSE),0)</f>
        <v>123</v>
      </c>
      <c r="D53" s="33">
        <f t="shared" si="4"/>
        <v>123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5992</v>
      </c>
      <c r="D54" s="29">
        <f>D55+D56+D57+D58</f>
        <v>6074</v>
      </c>
      <c r="E54" s="38">
        <f t="shared" si="0"/>
        <v>82</v>
      </c>
      <c r="F54" s="39">
        <f t="shared" si="1"/>
        <v>1.0137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IFERROR(VLOOKUP(A55,[4]Wielkopolski!$A$7:$D$100,4,FALSE),0)</f>
        <v>4605</v>
      </c>
      <c r="D55" s="33">
        <f>C55+64</f>
        <v>4669</v>
      </c>
      <c r="E55" s="38">
        <f t="shared" si="0"/>
        <v>64</v>
      </c>
      <c r="F55" s="39">
        <f t="shared" si="1"/>
        <v>1.0139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IFERROR(VLOOKUP(A56,[4]Wielkopolski!$A$7:$D$100,4,FALSE),0)</f>
        <v>657</v>
      </c>
      <c r="D56" s="33">
        <f>C56+7</f>
        <v>664</v>
      </c>
      <c r="E56" s="38">
        <f t="shared" si="0"/>
        <v>7</v>
      </c>
      <c r="F56" s="39">
        <f t="shared" si="1"/>
        <v>1.0106999999999999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IFERROR(VLOOKUP(A57,[4]Wielkopolski!$A$7:$D$100,4,FALSE),0)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IFERROR(VLOOKUP(A58,[4]Wielkopolski!$A$7:$D$100,4,FALSE),0)</f>
        <v>730</v>
      </c>
      <c r="D58" s="33">
        <f>C58+11</f>
        <v>741</v>
      </c>
      <c r="E58" s="38">
        <f t="shared" si="0"/>
        <v>11</v>
      </c>
      <c r="F58" s="39">
        <f t="shared" si="1"/>
        <v>1.0150999999999999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IFERROR(VLOOKUP(A59,[4]Wielkopolski!$A$7:$D$100,4,FALSE),0)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IFERROR(VLOOKUP(A60,[4]Wielkopolski!$A$7:$D$100,4,FALSE),0)</f>
        <v>3963</v>
      </c>
      <c r="D60" s="33">
        <f t="shared" si="4"/>
        <v>3963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IFERROR(VLOOKUP(A61,[4]Wielkopolski!$A$7:$D$100,4,FALSE),0)</f>
        <v>388</v>
      </c>
      <c r="D61" s="33">
        <f>C61+2</f>
        <v>390</v>
      </c>
      <c r="E61" s="38">
        <f t="shared" si="0"/>
        <v>2</v>
      </c>
      <c r="F61" s="39">
        <f t="shared" si="1"/>
        <v>1.0052000000000001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14290</v>
      </c>
      <c r="D62" s="87">
        <f>D63+D64+D65+D66</f>
        <v>14290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IFERROR(VLOOKUP(A63,[4]Wielkopolski!$A$7:$D$100,4,FALSE),0)</f>
        <v>50</v>
      </c>
      <c r="D63" s="33">
        <f>C63</f>
        <v>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IFERROR(VLOOKUP(A64,[4]Wielkopolski!$A$7:$D$100,4,FALSE),0)</f>
        <v>13490</v>
      </c>
      <c r="D64" s="33">
        <f>C64</f>
        <v>13490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IFERROR(VLOOKUP(A65,[4]Wielkopolski!$A$7:$D$100,4,FALSE),0)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IFERROR(VLOOKUP(A66,[4]Wielkopolski!$A$7:$D$100,4,FALSE),0)</f>
        <v>750</v>
      </c>
      <c r="D66" s="33">
        <f>C66</f>
        <v>750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IFERROR(VLOOKUP(A67,[4]Wielkopolski!$A$7:$D$100,4,FALSE),0)</f>
        <v>3200</v>
      </c>
      <c r="D67" s="87">
        <f>C67</f>
        <v>3200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V18" sqref="V18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74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3624206</v>
      </c>
      <c r="D6" s="83">
        <f>D7+D8+D9+D14+D15+D16+D17+D18+D19+D20+D21+D22+D23+D24+D28+D29+D31+D32+D33+D34+D35</f>
        <v>3802293</v>
      </c>
      <c r="E6" s="68">
        <f>IF(C6=D6,"-",D6-C6)</f>
        <v>178087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IFERROR(VLOOKUP(A7,[4]Zachodniopomorski!$A$7:$D$100,4,FALSE),0)</f>
        <v>497492</v>
      </c>
      <c r="D7" s="13">
        <f>C7+27000</f>
        <v>524492</v>
      </c>
      <c r="E7" s="38">
        <f t="shared" ref="E7:E67" si="0">IF(C7=D7,"-",D7-C7)</f>
        <v>27000</v>
      </c>
      <c r="F7" s="39">
        <f t="shared" ref="F7:F67" si="1">IF(C7=0,"-",D7/C7)</f>
        <v>1.0543</v>
      </c>
    </row>
    <row r="8" spans="1:6" ht="33" customHeight="1" x14ac:dyDescent="0.2">
      <c r="A8" s="92" t="s">
        <v>2</v>
      </c>
      <c r="B8" s="14" t="s">
        <v>117</v>
      </c>
      <c r="C8" s="31">
        <f>IFERROR(VLOOKUP(A8,[4]Zachodniopomorski!$A$7:$D$100,4,FALSE),0)</f>
        <v>200128</v>
      </c>
      <c r="D8" s="13">
        <f>C8+4580</f>
        <v>204708</v>
      </c>
      <c r="E8" s="38">
        <f t="shared" si="0"/>
        <v>4580</v>
      </c>
      <c r="F8" s="39">
        <f t="shared" si="1"/>
        <v>1.0228999999999999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IFERROR(VLOOKUP(A9,[4]Zachodniopomorski!$A$7:$D$100,4,FALSE),0)</f>
        <v>1868433</v>
      </c>
      <c r="D9" s="13">
        <f>C9+105922-1768-337</f>
        <v>1972250</v>
      </c>
      <c r="E9" s="38">
        <f t="shared" si="0"/>
        <v>103817</v>
      </c>
      <c r="F9" s="39">
        <f t="shared" si="1"/>
        <v>1.0556000000000001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IFERROR(VLOOKUP(A10,[4]Zachodniopomorski!$A$7:$D$100,4,FALSE),0)</f>
        <v>152086</v>
      </c>
      <c r="D10" s="13">
        <f>C10+1941-1768</f>
        <v>152259</v>
      </c>
      <c r="E10" s="38">
        <f t="shared" si="0"/>
        <v>173</v>
      </c>
      <c r="F10" s="39">
        <f t="shared" si="1"/>
        <v>1.0011000000000001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IFERROR(VLOOKUP(A11,[4]Zachodniopomorski!$A$7:$D$100,4,FALSE),0)</f>
        <v>137327</v>
      </c>
      <c r="D11" s="13">
        <f>C11+1768-1768</f>
        <v>137327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IFERROR(VLOOKUP(A12,[4]Zachodniopomorski!$A$7:$D$100,4,FALSE),0)</f>
        <v>65421</v>
      </c>
      <c r="D12" s="13">
        <f>C12+763-337</f>
        <v>65847</v>
      </c>
      <c r="E12" s="38">
        <f t="shared" si="0"/>
        <v>426</v>
      </c>
      <c r="F12" s="39">
        <f t="shared" si="1"/>
        <v>1.0065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IFERROR(VLOOKUP(A13,[4]Zachodniopomorski!$A$7:$D$100,4,FALSE),0)</f>
        <v>29901</v>
      </c>
      <c r="D13" s="13">
        <f>C13+337-337</f>
        <v>29901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IFERROR(VLOOKUP(A14,[4]Zachodniopomorski!$A$7:$D$100,4,FALSE),0)</f>
        <v>109392</v>
      </c>
      <c r="D14" s="13">
        <f>C14+4346</f>
        <v>113738</v>
      </c>
      <c r="E14" s="38">
        <f t="shared" si="0"/>
        <v>4346</v>
      </c>
      <c r="F14" s="39">
        <f t="shared" si="1"/>
        <v>1.0397000000000001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IFERROR(VLOOKUP(A15,[4]Zachodniopomorski!$A$7:$D$100,4,FALSE),0)</f>
        <v>117577</v>
      </c>
      <c r="D15" s="13">
        <f>C15+2698</f>
        <v>120275</v>
      </c>
      <c r="E15" s="38">
        <f t="shared" si="0"/>
        <v>2698</v>
      </c>
      <c r="F15" s="39">
        <f t="shared" si="1"/>
        <v>1.0228999999999999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IFERROR(VLOOKUP(A16,[4]Zachodniopomorski!$A$7:$D$100,4,FALSE),0)</f>
        <v>57698</v>
      </c>
      <c r="D16" s="13">
        <f>C16+5619</f>
        <v>63317</v>
      </c>
      <c r="E16" s="38">
        <f t="shared" si="0"/>
        <v>5619</v>
      </c>
      <c r="F16" s="39">
        <f t="shared" si="1"/>
        <v>1.0973999999999999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IFERROR(VLOOKUP(A17,[4]Zachodniopomorski!$A$7:$D$100,4,FALSE),0)</f>
        <v>21241</v>
      </c>
      <c r="D17" s="13">
        <f>C17+2418</f>
        <v>23659</v>
      </c>
      <c r="E17" s="38">
        <f t="shared" si="0"/>
        <v>2418</v>
      </c>
      <c r="F17" s="39">
        <f t="shared" si="1"/>
        <v>1.1137999999999999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IFERROR(VLOOKUP(A18,[4]Zachodniopomorski!$A$7:$D$100,4,FALSE),0)</f>
        <v>88435</v>
      </c>
      <c r="D18" s="13">
        <f>C18+1408</f>
        <v>89843</v>
      </c>
      <c r="E18" s="38">
        <f t="shared" si="0"/>
        <v>1408</v>
      </c>
      <c r="F18" s="39">
        <f t="shared" si="1"/>
        <v>1.0159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IFERROR(VLOOKUP(A19,[4]Zachodniopomorski!$A$7:$D$100,4,FALSE),0)</f>
        <v>32100</v>
      </c>
      <c r="D19" s="13">
        <f t="shared" ref="D19:D34" si="2">C19</f>
        <v>32100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IFERROR(VLOOKUP(A20,[4]Zachodniopomorski!$A$7:$D$100,4,FALSE),0)</f>
        <v>2587</v>
      </c>
      <c r="D20" s="13">
        <f t="shared" si="2"/>
        <v>2587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IFERROR(VLOOKUP(A21,[4]Zachodniopomorski!$A$7:$D$100,4,FALSE),0)</f>
        <v>10857</v>
      </c>
      <c r="D21" s="13">
        <f>C21+142</f>
        <v>10999</v>
      </c>
      <c r="E21" s="38">
        <f t="shared" si="0"/>
        <v>142</v>
      </c>
      <c r="F21" s="39">
        <f t="shared" si="1"/>
        <v>1.0130999999999999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IFERROR(VLOOKUP(A22,[4]Zachodniopomorski!$A$7:$D$100,4,FALSE),0)</f>
        <v>154623</v>
      </c>
      <c r="D22" s="13">
        <f>C22+3954</f>
        <v>158577</v>
      </c>
      <c r="E22" s="38">
        <f t="shared" si="0"/>
        <v>3954</v>
      </c>
      <c r="F22" s="39">
        <f t="shared" si="1"/>
        <v>1.0256000000000001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IFERROR(VLOOKUP(A23,[4]Zachodniopomorski!$A$7:$D$100,4,FALSE),0)</f>
        <v>56000</v>
      </c>
      <c r="D23" s="13">
        <f>C23</f>
        <v>56000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IFERROR(VLOOKUP(A24,[4]Zachodniopomorski!$A$7:$D$100,4,FALSE),0)</f>
        <v>363870</v>
      </c>
      <c r="D24" s="13">
        <f>C24+20000-20000</f>
        <v>363870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IFERROR(VLOOKUP(A25,[4]Zachodniopomorski!$A$7:$D$100,4,FALSE),0)</f>
        <v>363120</v>
      </c>
      <c r="D25" s="13">
        <f>C25+20000-20000</f>
        <v>363120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IFERROR(VLOOKUP(A26,[4]Zachodniopomorski!$A$7:$D$100,4,FALSE),0)</f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IFERROR(VLOOKUP(A27,[4]Zachodniopomorski!$A$7:$D$100,4,FALSE),0)</f>
        <v>400</v>
      </c>
      <c r="D27" s="13">
        <f t="shared" si="2"/>
        <v>400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IFERROR(VLOOKUP(A28,[4]Zachodniopomorski!$A$7:$D$100,4,FALSE),0)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IFERROR(VLOOKUP(A29,[4]Zachodniopomorski!$A$7:$D$100,4,FALSE),0)</f>
        <v>23618</v>
      </c>
      <c r="D29" s="13">
        <f>C29+20000+1768+337</f>
        <v>45723</v>
      </c>
      <c r="E29" s="38">
        <f t="shared" si="0"/>
        <v>22105</v>
      </c>
      <c r="F29" s="39">
        <f t="shared" si="1"/>
        <v>1.9359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IFERROR(VLOOKUP(A30,[4]Zachodniopomorski!$A$7:$D$100,4,FALSE),0)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IFERROR(VLOOKUP(A31,[4]Zachodniopomorski!$A$7:$D$100,4,FALSE),0)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IFERROR(VLOOKUP(A32,[4]Zachodniopomorski!$A$7:$D$100,4,FALSE),0)</f>
        <v>5703</v>
      </c>
      <c r="D32" s="13">
        <f t="shared" si="2"/>
        <v>5703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IFERROR(VLOOKUP(A33,[4]Zachodniopomorski!$A$7:$D$100,4,FALSE),0)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IFERROR(VLOOKUP(A34,[4]Zachodniopomorski!$A$7:$D$100,4,FALSE),0)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IFERROR(VLOOKUP(A35,[4]Zachodniopomorski!$A$7:$D$100,4,FALSE),0)</f>
        <v>13452</v>
      </c>
      <c r="D35" s="13">
        <f t="shared" ref="D35" si="3">C35</f>
        <v>13452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IFERROR(VLOOKUP(A36,[4]Zachodniopomorski!$A$7:$D$100,4,FALSE),0)</f>
        <v>238</v>
      </c>
      <c r="D36" s="37">
        <f>C36</f>
        <v>238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IFERROR(VLOOKUP(A37,[4]Zachodniopomorski!$A$7:$D$100,4,FALSE),0)</f>
        <v>116177</v>
      </c>
      <c r="D37" s="37">
        <f>C37</f>
        <v>116177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IFERROR(VLOOKUP(A38,[4]Zachodniopomorski!$A$7:$D$100,4,FALSE),0)</f>
        <v>31046</v>
      </c>
      <c r="D38" s="37">
        <f>C38</f>
        <v>31046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IFERROR(VLOOKUP(A39,[4]Zachodniopomorski!$A$7:$D$100,4,FALSE),0)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531098</v>
      </c>
      <c r="D40" s="32">
        <f>D11+D13+D24+D30</f>
        <v>531098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25045</v>
      </c>
      <c r="D41" s="71">
        <f>D42+D43+D44+D52+D54+D60+D61+D59</f>
        <v>25488</v>
      </c>
      <c r="E41" s="68">
        <f t="shared" si="0"/>
        <v>443</v>
      </c>
      <c r="F41" s="86">
        <f t="shared" si="1"/>
        <v>1.0177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IFERROR(VLOOKUP(A42,[4]Zachodniopomorski!$A$7:$D$100,4,FALSE),0)</f>
        <v>848</v>
      </c>
      <c r="D42" s="33">
        <f>C42+50</f>
        <v>898</v>
      </c>
      <c r="E42" s="38">
        <f t="shared" si="0"/>
        <v>50</v>
      </c>
      <c r="F42" s="39">
        <f t="shared" si="1"/>
        <v>1.0589999999999999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IFERROR(VLOOKUP(A43,[4]Zachodniopomorski!$A$7:$D$100,4,FALSE),0)</f>
        <v>2981</v>
      </c>
      <c r="D43" s="33">
        <f>C43+31</f>
        <v>3012</v>
      </c>
      <c r="E43" s="38">
        <f t="shared" si="0"/>
        <v>31</v>
      </c>
      <c r="F43" s="39">
        <f t="shared" si="1"/>
        <v>1.0104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294</v>
      </c>
      <c r="D44" s="33">
        <f>D45+D47+D48+D49+D50+D51</f>
        <v>295</v>
      </c>
      <c r="E44" s="38">
        <f t="shared" si="0"/>
        <v>1</v>
      </c>
      <c r="F44" s="39">
        <f t="shared" si="1"/>
        <v>1.0034000000000001</v>
      </c>
    </row>
    <row r="45" spans="1:6" ht="23.25" customHeight="1" x14ac:dyDescent="0.2">
      <c r="A45" s="98" t="s">
        <v>37</v>
      </c>
      <c r="B45" s="46" t="s">
        <v>30</v>
      </c>
      <c r="C45" s="31">
        <f>IFERROR(VLOOKUP(A45,[4]Zachodniopomorski!$A$7:$D$100,4,FALSE),0)</f>
        <v>27</v>
      </c>
      <c r="D45" s="33">
        <f t="shared" ref="D45:D60" si="4">C45</f>
        <v>27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IFERROR(VLOOKUP(A46,[4]Zachodniopomorski!$A$7:$D$100,4,FALSE),0)</f>
        <v>27</v>
      </c>
      <c r="D46" s="33">
        <f t="shared" si="4"/>
        <v>27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IFERROR(VLOOKUP(A47,[4]Zachodniopomorski!$A$7:$D$100,4,FALSE),0)</f>
        <v>25</v>
      </c>
      <c r="D47" s="33">
        <f t="shared" si="4"/>
        <v>25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IFERROR(VLOOKUP(A48,[4]Zachodniopomorski!$A$7:$D$100,4,FALSE),0)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IFERROR(VLOOKUP(A49,[4]Zachodniopomorski!$A$7:$D$100,4,FALSE),0)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IFERROR(VLOOKUP(A50,[4]Zachodniopomorski!$A$7:$D$100,4,FALSE),0)</f>
        <v>200</v>
      </c>
      <c r="D50" s="33">
        <f>C50+1</f>
        <v>201</v>
      </c>
      <c r="E50" s="38">
        <f t="shared" si="0"/>
        <v>1</v>
      </c>
      <c r="F50" s="39">
        <f t="shared" si="1"/>
        <v>1.0049999999999999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IFERROR(VLOOKUP(A51,[4]Zachodniopomorski!$A$7:$D$100,4,FALSE),0)</f>
        <v>42</v>
      </c>
      <c r="D51" s="33">
        <f t="shared" si="4"/>
        <v>42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IFERROR(VLOOKUP(A52,[4]Zachodniopomorski!$A$7:$D$100,4,FALSE),0)</f>
        <v>15401</v>
      </c>
      <c r="D52" s="33">
        <f>C52+298</f>
        <v>15699</v>
      </c>
      <c r="E52" s="38">
        <f t="shared" si="0"/>
        <v>298</v>
      </c>
      <c r="F52" s="39">
        <f t="shared" si="1"/>
        <v>1.0193000000000001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IFERROR(VLOOKUP(A53,[4]Zachodniopomorski!$A$7:$D$100,4,FALSE),0)</f>
        <v>50</v>
      </c>
      <c r="D53" s="33">
        <f t="shared" si="4"/>
        <v>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3448</v>
      </c>
      <c r="D54" s="29">
        <f>D55+D56+D57+D58</f>
        <v>3509</v>
      </c>
      <c r="E54" s="38">
        <f t="shared" si="0"/>
        <v>61</v>
      </c>
      <c r="F54" s="39">
        <f t="shared" si="1"/>
        <v>1.0177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IFERROR(VLOOKUP(A55,[4]Zachodniopomorski!$A$7:$D$100,4,FALSE),0)</f>
        <v>2644</v>
      </c>
      <c r="D55" s="33">
        <f>C55+48</f>
        <v>2692</v>
      </c>
      <c r="E55" s="38">
        <f t="shared" si="0"/>
        <v>48</v>
      </c>
      <c r="F55" s="39">
        <f t="shared" si="1"/>
        <v>1.0182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IFERROR(VLOOKUP(A56,[4]Zachodniopomorski!$A$7:$D$100,4,FALSE),0)</f>
        <v>378</v>
      </c>
      <c r="D56" s="33">
        <f>C56+5</f>
        <v>383</v>
      </c>
      <c r="E56" s="38">
        <f t="shared" si="0"/>
        <v>5</v>
      </c>
      <c r="F56" s="39">
        <f t="shared" si="1"/>
        <v>1.0132000000000001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IFERROR(VLOOKUP(A57,[4]Zachodniopomorski!$A$7:$D$100,4,FALSE),0)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IFERROR(VLOOKUP(A58,[4]Zachodniopomorski!$A$7:$D$100,4,FALSE),0)</f>
        <v>426</v>
      </c>
      <c r="D58" s="33">
        <f>C58+8</f>
        <v>434</v>
      </c>
      <c r="E58" s="38">
        <f t="shared" si="0"/>
        <v>8</v>
      </c>
      <c r="F58" s="39">
        <f t="shared" si="1"/>
        <v>1.0187999999999999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IFERROR(VLOOKUP(A59,[4]Zachodniopomorski!$A$7:$D$100,4,FALSE),0)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IFERROR(VLOOKUP(A60,[4]Zachodniopomorski!$A$7:$D$100,4,FALSE),0)</f>
        <v>1920</v>
      </c>
      <c r="D60" s="33">
        <f t="shared" si="4"/>
        <v>1920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IFERROR(VLOOKUP(A61,[4]Zachodniopomorski!$A$7:$D$100,4,FALSE),0)</f>
        <v>153</v>
      </c>
      <c r="D61" s="33">
        <f>C61+2</f>
        <v>155</v>
      </c>
      <c r="E61" s="38">
        <f t="shared" si="0"/>
        <v>2</v>
      </c>
      <c r="F61" s="39">
        <f t="shared" si="1"/>
        <v>1.0130999999999999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716</v>
      </c>
      <c r="D62" s="87">
        <f>D63+D64+D65+D66</f>
        <v>716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IFERROR(VLOOKUP(A63,[4]Zachodniopomorski!$A$7:$D$100,4,FALSE),0)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IFERROR(VLOOKUP(A64,[4]Zachodniopomorski!$A$7:$D$100,4,FALSE),0)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IFERROR(VLOOKUP(A65,[4]Zachodniopomorski!$A$7:$D$100,4,FALSE),0)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IFERROR(VLOOKUP(A66,[4]Zachodniopomorski!$A$7:$D$100,4,FALSE),0)</f>
        <v>716</v>
      </c>
      <c r="D66" s="33">
        <f>C66</f>
        <v>716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IFERROR(VLOOKUP(A67,[4]Zachodniopomorski!$A$7:$D$100,4,FALSE),0)</f>
        <v>57</v>
      </c>
      <c r="D67" s="87">
        <f>C67</f>
        <v>57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9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9" s="22" customFormat="1" ht="33" customHeight="1" x14ac:dyDescent="0.2">
      <c r="A2" s="54" t="s">
        <v>165</v>
      </c>
      <c r="B2" s="54"/>
      <c r="C2" s="55"/>
    </row>
    <row r="3" spans="1:9" ht="33" customHeight="1" x14ac:dyDescent="0.25">
      <c r="A3" s="90"/>
      <c r="B3" s="5"/>
      <c r="C3" s="35"/>
      <c r="D3" s="35"/>
      <c r="E3" s="35" t="s">
        <v>138</v>
      </c>
      <c r="F3" s="6"/>
    </row>
    <row r="4" spans="1:9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9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877734</v>
      </c>
      <c r="D6" s="83">
        <f>D7+D8+D9+D14+D15+D16+D17+D18+D19+D20+D21+D22+D23+D24+D28+D29+D31+D32+D33+D34+D35</f>
        <v>877734</v>
      </c>
      <c r="E6" s="68" t="str">
        <f>IF(C6=D6,"-",D6-C6)</f>
        <v>-</v>
      </c>
      <c r="F6" s="84">
        <f>IF(C6=0,"-",D6/C6)</f>
        <v>1</v>
      </c>
      <c r="I6" s="34"/>
    </row>
    <row r="7" spans="1:9" ht="33" customHeight="1" x14ac:dyDescent="0.2">
      <c r="A7" s="92" t="s">
        <v>1</v>
      </c>
      <c r="B7" s="14" t="s">
        <v>116</v>
      </c>
      <c r="C7" s="31">
        <f>IFERROR(VLOOKUP(A7,[4]CENTRALA!$A$7:$D$100,4,FALSE),0)</f>
        <v>0</v>
      </c>
      <c r="D7" s="13">
        <f>C7</f>
        <v>0</v>
      </c>
      <c r="E7" s="38" t="str">
        <f t="shared" ref="E7:E67" si="0">IF(C7=D7,"-",D7-C7)</f>
        <v>-</v>
      </c>
      <c r="F7" s="39" t="str">
        <f t="shared" ref="F7:F67" si="1">IF(C7=0,"-",D7/C7)</f>
        <v>-</v>
      </c>
      <c r="I7" s="34"/>
    </row>
    <row r="8" spans="1:9" ht="33" customHeight="1" x14ac:dyDescent="0.2">
      <c r="A8" s="92" t="s">
        <v>2</v>
      </c>
      <c r="B8" s="14" t="s">
        <v>117</v>
      </c>
      <c r="C8" s="31">
        <f>IFERROR(VLOOKUP(A8,[4]CENTRALA!$A$7:$D$100,4,FALSE),0)</f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  <c r="I8" s="34"/>
    </row>
    <row r="9" spans="1:9" ht="33" customHeight="1" x14ac:dyDescent="0.2">
      <c r="A9" s="92" t="s">
        <v>3</v>
      </c>
      <c r="B9" s="14" t="s">
        <v>114</v>
      </c>
      <c r="C9" s="31">
        <f>IFERROR(VLOOKUP(A9,[4]CENTRALA!$A$7:$D$100,4,FALSE),0)</f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  <c r="I9" s="34"/>
    </row>
    <row r="10" spans="1:9" ht="31.5" customHeight="1" x14ac:dyDescent="0.2">
      <c r="A10" s="93" t="s">
        <v>54</v>
      </c>
      <c r="B10" s="45" t="s">
        <v>195</v>
      </c>
      <c r="C10" s="31">
        <f>IFERROR(VLOOKUP(A10,[4]CENTRALA!$A$7:$D$100,4,FALSE),0)</f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  <c r="I10" s="34"/>
    </row>
    <row r="11" spans="1:9" ht="31.5" customHeight="1" x14ac:dyDescent="0.2">
      <c r="A11" s="93" t="s">
        <v>139</v>
      </c>
      <c r="B11" s="45" t="s">
        <v>142</v>
      </c>
      <c r="C11" s="31">
        <f>IFERROR(VLOOKUP(A11,[4]CENTRALA!$A$7:$D$100,4,FALSE),0)</f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  <c r="I11" s="34"/>
    </row>
    <row r="12" spans="1:9" ht="31.5" customHeight="1" x14ac:dyDescent="0.2">
      <c r="A12" s="93" t="s">
        <v>140</v>
      </c>
      <c r="B12" s="45" t="s">
        <v>143</v>
      </c>
      <c r="C12" s="31">
        <f>IFERROR(VLOOKUP(A12,[4]CENTRALA!$A$7:$D$100,4,FALSE),0)</f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  <c r="I12" s="34"/>
    </row>
    <row r="13" spans="1:9" ht="31.5" customHeight="1" x14ac:dyDescent="0.2">
      <c r="A13" s="93" t="s">
        <v>141</v>
      </c>
      <c r="B13" s="45" t="s">
        <v>144</v>
      </c>
      <c r="C13" s="31">
        <f>IFERROR(VLOOKUP(A13,[4]CENTRALA!$A$7:$D$100,4,FALSE),0)</f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  <c r="I13" s="34"/>
    </row>
    <row r="14" spans="1:9" ht="33" customHeight="1" x14ac:dyDescent="0.2">
      <c r="A14" s="92" t="s">
        <v>4</v>
      </c>
      <c r="B14" s="14" t="s">
        <v>122</v>
      </c>
      <c r="C14" s="31">
        <f>IFERROR(VLOOKUP(A14,[4]CENTRALA!$A$7:$D$100,4,FALSE),0)</f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  <c r="I14" s="34"/>
    </row>
    <row r="15" spans="1:9" ht="33" customHeight="1" x14ac:dyDescent="0.2">
      <c r="A15" s="92" t="s">
        <v>5</v>
      </c>
      <c r="B15" s="14" t="s">
        <v>118</v>
      </c>
      <c r="C15" s="31">
        <f>IFERROR(VLOOKUP(A15,[4]CENTRALA!$A$7:$D$100,4,FALSE),0)</f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  <c r="I15" s="34"/>
    </row>
    <row r="16" spans="1:9" ht="33" customHeight="1" x14ac:dyDescent="0.2">
      <c r="A16" s="92" t="s">
        <v>6</v>
      </c>
      <c r="B16" s="14" t="s">
        <v>124</v>
      </c>
      <c r="C16" s="31">
        <f>IFERROR(VLOOKUP(A16,[4]CENTRALA!$A$7:$D$100,4,FALSE),0)</f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  <c r="I16" s="34"/>
    </row>
    <row r="17" spans="1:9" ht="33" customHeight="1" x14ac:dyDescent="0.2">
      <c r="A17" s="92" t="s">
        <v>7</v>
      </c>
      <c r="B17" s="14" t="s">
        <v>123</v>
      </c>
      <c r="C17" s="31">
        <f>IFERROR(VLOOKUP(A17,[4]CENTRALA!$A$7:$D$100,4,FALSE),0)</f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  <c r="I17" s="34"/>
    </row>
    <row r="18" spans="1:9" ht="33" customHeight="1" x14ac:dyDescent="0.2">
      <c r="A18" s="92" t="s">
        <v>8</v>
      </c>
      <c r="B18" s="14" t="s">
        <v>119</v>
      </c>
      <c r="C18" s="31">
        <f>IFERROR(VLOOKUP(A18,[4]CENTRALA!$A$7:$D$100,4,FALSE),0)</f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  <c r="I18" s="34"/>
    </row>
    <row r="19" spans="1:9" ht="33" customHeight="1" x14ac:dyDescent="0.2">
      <c r="A19" s="92" t="s">
        <v>9</v>
      </c>
      <c r="B19" s="14" t="s">
        <v>120</v>
      </c>
      <c r="C19" s="31">
        <f>IFERROR(VLOOKUP(A19,[4]CENTRALA!$A$7:$D$100,4,FALSE),0)</f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  <c r="I19" s="34"/>
    </row>
    <row r="20" spans="1:9" ht="33" customHeight="1" x14ac:dyDescent="0.2">
      <c r="A20" s="92" t="s">
        <v>10</v>
      </c>
      <c r="B20" s="14" t="s">
        <v>125</v>
      </c>
      <c r="C20" s="31">
        <f>IFERROR(VLOOKUP(A20,[4]CENTRALA!$A$7:$D$100,4,FALSE),0)</f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  <c r="I20" s="34"/>
    </row>
    <row r="21" spans="1:9" ht="46.5" customHeight="1" x14ac:dyDescent="0.2">
      <c r="A21" s="92" t="s">
        <v>11</v>
      </c>
      <c r="B21" s="14" t="s">
        <v>121</v>
      </c>
      <c r="C21" s="31">
        <f>IFERROR(VLOOKUP(A21,[4]CENTRALA!$A$7:$D$100,4,FALSE),0)</f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  <c r="I21" s="34"/>
    </row>
    <row r="22" spans="1:9" ht="33" customHeight="1" x14ac:dyDescent="0.2">
      <c r="A22" s="92" t="s">
        <v>12</v>
      </c>
      <c r="B22" s="14" t="s">
        <v>161</v>
      </c>
      <c r="C22" s="31">
        <f>IFERROR(VLOOKUP(A22,[4]CENTRALA!$A$7:$D$100,4,FALSE),0)</f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  <c r="I22" s="34"/>
    </row>
    <row r="23" spans="1:9" ht="33" customHeight="1" x14ac:dyDescent="0.2">
      <c r="A23" s="92" t="s">
        <v>13</v>
      </c>
      <c r="B23" s="14" t="s">
        <v>145</v>
      </c>
      <c r="C23" s="31">
        <f>IFERROR(VLOOKUP(A23,[4]CENTRALA!$A$7:$D$100,4,FALSE),0)</f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  <c r="I23" s="34"/>
    </row>
    <row r="24" spans="1:9" ht="33" customHeight="1" x14ac:dyDescent="0.2">
      <c r="A24" s="94" t="s">
        <v>14</v>
      </c>
      <c r="B24" s="30" t="s">
        <v>176</v>
      </c>
      <c r="C24" s="31">
        <f>IFERROR(VLOOKUP(A24,[4]CENTRALA!$A$7:$D$100,4,FALSE),0)</f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  <c r="I24" s="34"/>
    </row>
    <row r="25" spans="1:9" ht="37.5" x14ac:dyDescent="0.2">
      <c r="A25" s="93" t="s">
        <v>126</v>
      </c>
      <c r="B25" s="45" t="s">
        <v>147</v>
      </c>
      <c r="C25" s="31">
        <f>IFERROR(VLOOKUP(A25,[4]CENTRALA!$A$7:$D$100,4,FALSE),0)</f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  <c r="I25" s="34"/>
    </row>
    <row r="26" spans="1:9" ht="31.5" customHeight="1" x14ac:dyDescent="0.2">
      <c r="A26" s="93" t="s">
        <v>146</v>
      </c>
      <c r="B26" s="45" t="s">
        <v>149</v>
      </c>
      <c r="C26" s="31">
        <f>IFERROR(VLOOKUP(A26,[4]CENTRALA!$A$7:$D$100,4,FALSE),0)</f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  <c r="I26" s="34"/>
    </row>
    <row r="27" spans="1:9" ht="37.5" x14ac:dyDescent="0.2">
      <c r="A27" s="93" t="s">
        <v>150</v>
      </c>
      <c r="B27" s="45" t="s">
        <v>148</v>
      </c>
      <c r="C27" s="31">
        <f>IFERROR(VLOOKUP(A27,[4]CENTRALA!$A$7:$D$100,4,FALSE),0)</f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  <c r="I27" s="34"/>
    </row>
    <row r="28" spans="1:9" ht="33" customHeight="1" x14ac:dyDescent="0.2">
      <c r="A28" s="95" t="s">
        <v>15</v>
      </c>
      <c r="B28" s="15" t="s">
        <v>110</v>
      </c>
      <c r="C28" s="31">
        <f>IFERROR(VLOOKUP(A28,[4]CENTRALA!$A$7:$D$100,4,FALSE),0)</f>
        <v>748250</v>
      </c>
      <c r="D28" s="13">
        <f t="shared" si="2"/>
        <v>748250</v>
      </c>
      <c r="E28" s="38" t="str">
        <f t="shared" si="0"/>
        <v>-</v>
      </c>
      <c r="F28" s="39">
        <f t="shared" si="1"/>
        <v>1</v>
      </c>
      <c r="I28" s="34"/>
    </row>
    <row r="29" spans="1:9" ht="33" customHeight="1" x14ac:dyDescent="0.2">
      <c r="A29" s="95" t="s">
        <v>107</v>
      </c>
      <c r="B29" s="16" t="s">
        <v>151</v>
      </c>
      <c r="C29" s="31">
        <f>IFERROR(VLOOKUP(A29,[4]CENTRALA!$A$7:$D$100,4,FALSE),0)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  <c r="I29" s="34"/>
    </row>
    <row r="30" spans="1:9" ht="31.5" customHeight="1" x14ac:dyDescent="0.2">
      <c r="A30" s="93" t="s">
        <v>152</v>
      </c>
      <c r="B30" s="45" t="s">
        <v>163</v>
      </c>
      <c r="C30" s="31">
        <f>IFERROR(VLOOKUP(A30,[4]CENTRALA!$A$7:$D$100,4,FALSE),0)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  <c r="I30" s="34"/>
    </row>
    <row r="31" spans="1:9" ht="33" customHeight="1" x14ac:dyDescent="0.2">
      <c r="A31" s="95" t="s">
        <v>108</v>
      </c>
      <c r="B31" s="16" t="s">
        <v>111</v>
      </c>
      <c r="C31" s="31">
        <f>IFERROR(VLOOKUP(A31,[4]CENTRALA!$A$7:$D$100,4,FALSE),0)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  <c r="I31" s="34"/>
    </row>
    <row r="32" spans="1:9" ht="33" customHeight="1" x14ac:dyDescent="0.2">
      <c r="A32" s="95" t="s">
        <v>109</v>
      </c>
      <c r="B32" s="16" t="s">
        <v>162</v>
      </c>
      <c r="C32" s="31">
        <f>IFERROR(VLOOKUP(A32,[4]CENTRALA!$A$7:$D$100,4,FALSE),0)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  <c r="I32" s="34"/>
    </row>
    <row r="33" spans="1:9" ht="42.75" customHeight="1" x14ac:dyDescent="0.2">
      <c r="A33" s="95" t="s">
        <v>177</v>
      </c>
      <c r="B33" s="16" t="s">
        <v>178</v>
      </c>
      <c r="C33" s="31">
        <f>IFERROR(VLOOKUP(A33,[4]CENTRALA!$A$7:$D$100,4,FALSE),0)</f>
        <v>114719</v>
      </c>
      <c r="D33" s="13">
        <f t="shared" si="2"/>
        <v>114719</v>
      </c>
      <c r="E33" s="38" t="str">
        <f>IF(C33=D33,"-",D33-C33)</f>
        <v>-</v>
      </c>
      <c r="F33" s="39">
        <f>IF(C33=0,"-",D33/C33)</f>
        <v>1</v>
      </c>
      <c r="I33" s="34"/>
    </row>
    <row r="34" spans="1:9" ht="33" customHeight="1" x14ac:dyDescent="0.2">
      <c r="A34" s="95" t="s">
        <v>184</v>
      </c>
      <c r="B34" s="16" t="s">
        <v>185</v>
      </c>
      <c r="C34" s="31">
        <f>IFERROR(VLOOKUP(A34,[4]CENTRALA!$A$7:$D$100,4,FALSE),0)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  <c r="I34" s="34"/>
    </row>
    <row r="35" spans="1:9" ht="53.25" customHeight="1" x14ac:dyDescent="0.2">
      <c r="A35" s="95" t="s">
        <v>192</v>
      </c>
      <c r="B35" s="16" t="s">
        <v>193</v>
      </c>
      <c r="C35" s="31">
        <f>IFERROR(VLOOKUP(A35,[4]CENTRALA!$A$7:$D$100,4,FALSE),0)</f>
        <v>14765</v>
      </c>
      <c r="D35" s="13">
        <f t="shared" ref="D35" si="3">C35</f>
        <v>14765</v>
      </c>
      <c r="E35" s="38" t="str">
        <f>IF(C35=D35,"-",D35-C35)</f>
        <v>-</v>
      </c>
      <c r="F35" s="39">
        <f>IF(C35=0,"-",D35/C35)</f>
        <v>1</v>
      </c>
      <c r="I35" s="34"/>
    </row>
    <row r="36" spans="1:9" s="2" customFormat="1" ht="33" customHeight="1" x14ac:dyDescent="0.2">
      <c r="A36" s="96" t="s">
        <v>56</v>
      </c>
      <c r="B36" s="17" t="s">
        <v>57</v>
      </c>
      <c r="C36" s="32">
        <f>IFERROR(VLOOKUP(A36,[4]CENTRALA!$A$7:$D$100,4,FALSE),0)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  <c r="I36" s="34"/>
    </row>
    <row r="37" spans="1:9" s="2" customFormat="1" ht="33" customHeight="1" x14ac:dyDescent="0.2">
      <c r="A37" s="96" t="s">
        <v>55</v>
      </c>
      <c r="B37" s="17" t="s">
        <v>58</v>
      </c>
      <c r="C37" s="32">
        <f>IFERROR(VLOOKUP(A37,[4]CENTRALA!$A$7:$D$100,4,FALSE),0)</f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  <c r="I37" s="34"/>
    </row>
    <row r="38" spans="1:9" s="2" customFormat="1" ht="60.75" x14ac:dyDescent="0.2">
      <c r="A38" s="96" t="s">
        <v>186</v>
      </c>
      <c r="B38" s="17" t="s">
        <v>187</v>
      </c>
      <c r="C38" s="32">
        <f>IFERROR(VLOOKUP(A38,[4]CENTRALA!$A$7:$D$100,4,FALSE),0)</f>
        <v>0</v>
      </c>
      <c r="D38" s="37">
        <f>C38</f>
        <v>0</v>
      </c>
      <c r="E38" s="7" t="str">
        <f t="shared" si="0"/>
        <v>-</v>
      </c>
      <c r="F38" s="40" t="str">
        <f t="shared" si="1"/>
        <v>-</v>
      </c>
      <c r="I38" s="34"/>
    </row>
    <row r="39" spans="1:9" s="2" customFormat="1" ht="33" customHeight="1" x14ac:dyDescent="0.2">
      <c r="A39" s="96" t="s">
        <v>199</v>
      </c>
      <c r="B39" s="17" t="s">
        <v>200</v>
      </c>
      <c r="C39" s="32">
        <f>IFERROR(VLOOKUP(A39,[4]CENTRALA!$A$7:$D$100,4,FALSE),0)</f>
        <v>20255</v>
      </c>
      <c r="D39" s="37">
        <f>C39+1012</f>
        <v>21267</v>
      </c>
      <c r="E39" s="7">
        <f t="shared" si="0"/>
        <v>1012</v>
      </c>
      <c r="F39" s="40">
        <f t="shared" si="1"/>
        <v>1.05</v>
      </c>
      <c r="I39" s="34"/>
    </row>
    <row r="40" spans="1:9" s="2" customFormat="1" ht="42.75" customHeight="1" x14ac:dyDescent="0.2">
      <c r="A40" s="96" t="s">
        <v>153</v>
      </c>
      <c r="B40" s="17" t="s">
        <v>154</v>
      </c>
      <c r="C40" s="32">
        <f>C11+C13+C24+C30</f>
        <v>0</v>
      </c>
      <c r="D40" s="32">
        <f>D11+D13+D24+D30</f>
        <v>0</v>
      </c>
      <c r="E40" s="7" t="str">
        <f t="shared" si="0"/>
        <v>-</v>
      </c>
      <c r="F40" s="40" t="str">
        <f t="shared" si="1"/>
        <v>-</v>
      </c>
      <c r="I40" s="34"/>
    </row>
    <row r="41" spans="1:9" ht="30" customHeight="1" x14ac:dyDescent="0.2">
      <c r="A41" s="97" t="s">
        <v>130</v>
      </c>
      <c r="B41" s="85" t="s">
        <v>182</v>
      </c>
      <c r="C41" s="71">
        <f>C42+C43+C44+C52+C54+C60+C61+C59</f>
        <v>275651</v>
      </c>
      <c r="D41" s="71">
        <f>D42+D43+D44+D52+D54+D60+D61+D59</f>
        <v>287601</v>
      </c>
      <c r="E41" s="68">
        <f t="shared" si="0"/>
        <v>11950</v>
      </c>
      <c r="F41" s="86">
        <f t="shared" si="1"/>
        <v>1.0434000000000001</v>
      </c>
      <c r="I41" s="34"/>
    </row>
    <row r="42" spans="1:9" ht="28.5" customHeight="1" x14ac:dyDescent="0.2">
      <c r="A42" s="95" t="s">
        <v>16</v>
      </c>
      <c r="B42" s="18" t="s">
        <v>17</v>
      </c>
      <c r="C42" s="31">
        <f>IFERROR(VLOOKUP(A42,[4]CENTRALA!$A$7:$D$100,4,FALSE),0)</f>
        <v>3563</v>
      </c>
      <c r="D42" s="33">
        <f>C42+187</f>
        <v>3750</v>
      </c>
      <c r="E42" s="38">
        <f t="shared" si="0"/>
        <v>187</v>
      </c>
      <c r="F42" s="39">
        <f t="shared" si="1"/>
        <v>1.0525</v>
      </c>
      <c r="I42" s="34"/>
    </row>
    <row r="43" spans="1:9" ht="28.5" customHeight="1" x14ac:dyDescent="0.2">
      <c r="A43" s="95" t="s">
        <v>18</v>
      </c>
      <c r="B43" s="18" t="s">
        <v>19</v>
      </c>
      <c r="C43" s="31">
        <f>IFERROR(VLOOKUP(A43,[4]CENTRALA!$A$7:$D$100,4,FALSE),0)</f>
        <v>135567</v>
      </c>
      <c r="D43" s="33">
        <f>C43+10125</f>
        <v>145692</v>
      </c>
      <c r="E43" s="38">
        <f t="shared" si="0"/>
        <v>10125</v>
      </c>
      <c r="F43" s="39">
        <f t="shared" si="1"/>
        <v>1.0747</v>
      </c>
      <c r="I43" s="34"/>
    </row>
    <row r="44" spans="1:9" ht="28.5" customHeight="1" x14ac:dyDescent="0.2">
      <c r="A44" s="95" t="s">
        <v>20</v>
      </c>
      <c r="B44" s="19" t="s">
        <v>183</v>
      </c>
      <c r="C44" s="33">
        <f>C45+C47+C48+C49+C50+C51</f>
        <v>793</v>
      </c>
      <c r="D44" s="33">
        <f>D45+D47+D48+D49+D50+D51</f>
        <v>801</v>
      </c>
      <c r="E44" s="38">
        <f t="shared" si="0"/>
        <v>8</v>
      </c>
      <c r="F44" s="39">
        <f t="shared" si="1"/>
        <v>1.0101</v>
      </c>
      <c r="I44" s="34"/>
    </row>
    <row r="45" spans="1:9" ht="28.5" customHeight="1" x14ac:dyDescent="0.2">
      <c r="A45" s="98" t="s">
        <v>37</v>
      </c>
      <c r="B45" s="46" t="s">
        <v>30</v>
      </c>
      <c r="C45" s="31">
        <f>IFERROR(VLOOKUP(A45,[4]CENTRALA!$A$7:$D$100,4,FALSE),0)</f>
        <v>100</v>
      </c>
      <c r="D45" s="33">
        <f t="shared" ref="D45:D60" si="4">C45</f>
        <v>100</v>
      </c>
      <c r="E45" s="38" t="str">
        <f t="shared" si="0"/>
        <v>-</v>
      </c>
      <c r="F45" s="39">
        <f t="shared" si="1"/>
        <v>1</v>
      </c>
      <c r="I45" s="34"/>
    </row>
    <row r="46" spans="1:9" ht="28.5" customHeight="1" x14ac:dyDescent="0.2">
      <c r="A46" s="98" t="s">
        <v>38</v>
      </c>
      <c r="B46" s="47" t="s">
        <v>31</v>
      </c>
      <c r="C46" s="31">
        <f>IFERROR(VLOOKUP(A46,[4]CENTRALA!$A$7:$D$100,4,FALSE),0)</f>
        <v>100</v>
      </c>
      <c r="D46" s="33">
        <f t="shared" si="4"/>
        <v>100</v>
      </c>
      <c r="E46" s="38" t="str">
        <f t="shared" si="0"/>
        <v>-</v>
      </c>
      <c r="F46" s="39">
        <f t="shared" si="1"/>
        <v>1</v>
      </c>
      <c r="I46" s="34"/>
    </row>
    <row r="47" spans="1:9" ht="28.5" customHeight="1" x14ac:dyDescent="0.2">
      <c r="A47" s="98" t="s">
        <v>39</v>
      </c>
      <c r="B47" s="46" t="s">
        <v>32</v>
      </c>
      <c r="C47" s="31">
        <f>IFERROR(VLOOKUP(A47,[4]CENTRALA!$A$7:$D$100,4,FALSE),0)</f>
        <v>94</v>
      </c>
      <c r="D47" s="33">
        <f t="shared" si="4"/>
        <v>94</v>
      </c>
      <c r="E47" s="38" t="str">
        <f t="shared" si="0"/>
        <v>-</v>
      </c>
      <c r="F47" s="39">
        <f t="shared" si="1"/>
        <v>1</v>
      </c>
      <c r="I47" s="34"/>
    </row>
    <row r="48" spans="1:9" ht="28.5" customHeight="1" x14ac:dyDescent="0.2">
      <c r="A48" s="98" t="s">
        <v>40</v>
      </c>
      <c r="B48" s="46" t="s">
        <v>33</v>
      </c>
      <c r="C48" s="31">
        <f>IFERROR(VLOOKUP(A48,[4]CENTRALA!$A$7:$D$100,4,FALSE),0)</f>
        <v>15</v>
      </c>
      <c r="D48" s="33">
        <f t="shared" si="4"/>
        <v>15</v>
      </c>
      <c r="E48" s="38" t="str">
        <f t="shared" si="0"/>
        <v>-</v>
      </c>
      <c r="F48" s="39">
        <f t="shared" si="1"/>
        <v>1</v>
      </c>
      <c r="I48" s="34"/>
    </row>
    <row r="49" spans="1:9" ht="28.5" customHeight="1" x14ac:dyDescent="0.2">
      <c r="A49" s="98" t="s">
        <v>41</v>
      </c>
      <c r="B49" s="46" t="s">
        <v>34</v>
      </c>
      <c r="C49" s="31">
        <f>IFERROR(VLOOKUP(A49,[4]CENTRALA!$A$7:$D$100,4,FALSE),0)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  <c r="I49" s="34"/>
    </row>
    <row r="50" spans="1:9" ht="28.5" customHeight="1" x14ac:dyDescent="0.2">
      <c r="A50" s="98" t="s">
        <v>42</v>
      </c>
      <c r="B50" s="46" t="s">
        <v>35</v>
      </c>
      <c r="C50" s="31">
        <f>IFERROR(VLOOKUP(A50,[4]CENTRALA!$A$7:$D$100,4,FALSE),0)</f>
        <v>434</v>
      </c>
      <c r="D50" s="33">
        <f>C50+8</f>
        <v>442</v>
      </c>
      <c r="E50" s="38">
        <f t="shared" si="0"/>
        <v>8</v>
      </c>
      <c r="F50" s="39">
        <f t="shared" si="1"/>
        <v>1.0184</v>
      </c>
      <c r="I50" s="34"/>
    </row>
    <row r="51" spans="1:9" ht="28.5" customHeight="1" x14ac:dyDescent="0.2">
      <c r="A51" s="98" t="s">
        <v>43</v>
      </c>
      <c r="B51" s="46" t="s">
        <v>36</v>
      </c>
      <c r="C51" s="31">
        <f>IFERROR(VLOOKUP(A51,[4]CENTRALA!$A$7:$D$100,4,FALSE),0)</f>
        <v>150</v>
      </c>
      <c r="D51" s="33">
        <f t="shared" si="4"/>
        <v>150</v>
      </c>
      <c r="E51" s="38" t="str">
        <f t="shared" si="0"/>
        <v>-</v>
      </c>
      <c r="F51" s="39">
        <f t="shared" si="1"/>
        <v>1</v>
      </c>
      <c r="I51" s="34"/>
    </row>
    <row r="52" spans="1:9" ht="28.5" customHeight="1" x14ac:dyDescent="0.2">
      <c r="A52" s="95" t="s">
        <v>21</v>
      </c>
      <c r="B52" s="18" t="s">
        <v>155</v>
      </c>
      <c r="C52" s="31">
        <f>IFERROR(VLOOKUP(A52,[4]CENTRALA!$A$7:$D$100,4,FALSE),0)</f>
        <v>52414</v>
      </c>
      <c r="D52" s="33">
        <f>C52+1349</f>
        <v>53763</v>
      </c>
      <c r="E52" s="38">
        <f t="shared" si="0"/>
        <v>1349</v>
      </c>
      <c r="F52" s="39">
        <f t="shared" si="1"/>
        <v>1.0257000000000001</v>
      </c>
      <c r="I52" s="34"/>
    </row>
    <row r="53" spans="1:9" ht="28.5" customHeight="1" x14ac:dyDescent="0.2">
      <c r="A53" s="98" t="s">
        <v>156</v>
      </c>
      <c r="B53" s="46" t="s">
        <v>157</v>
      </c>
      <c r="C53" s="31">
        <f>IFERROR(VLOOKUP(A53,[4]CENTRALA!$A$7:$D$100,4,FALSE),0)</f>
        <v>493</v>
      </c>
      <c r="D53" s="33">
        <f t="shared" si="4"/>
        <v>493</v>
      </c>
      <c r="E53" s="38" t="str">
        <f t="shared" si="0"/>
        <v>-</v>
      </c>
      <c r="F53" s="39">
        <f t="shared" si="1"/>
        <v>1</v>
      </c>
      <c r="I53" s="34"/>
    </row>
    <row r="54" spans="1:9" ht="28.5" customHeight="1" x14ac:dyDescent="0.2">
      <c r="A54" s="95" t="s">
        <v>22</v>
      </c>
      <c r="B54" s="19" t="s">
        <v>181</v>
      </c>
      <c r="C54" s="29">
        <f>C55+C56+C57+C58</f>
        <v>12839</v>
      </c>
      <c r="D54" s="29">
        <f>D55+D56+D57+D58</f>
        <v>13116</v>
      </c>
      <c r="E54" s="38">
        <f t="shared" si="0"/>
        <v>277</v>
      </c>
      <c r="F54" s="39">
        <f t="shared" si="1"/>
        <v>1.0216000000000001</v>
      </c>
      <c r="I54" s="34"/>
    </row>
    <row r="55" spans="1:9" ht="28.5" customHeight="1" x14ac:dyDescent="0.2">
      <c r="A55" s="98" t="s">
        <v>48</v>
      </c>
      <c r="B55" s="46" t="s">
        <v>44</v>
      </c>
      <c r="C55" s="31">
        <f>IFERROR(VLOOKUP(A55,[4]CENTRALA!$A$7:$D$100,4,FALSE),0)</f>
        <v>9039</v>
      </c>
      <c r="D55" s="33">
        <f>C55+217</f>
        <v>9256</v>
      </c>
      <c r="E55" s="38">
        <f t="shared" si="0"/>
        <v>217</v>
      </c>
      <c r="F55" s="39">
        <f t="shared" si="1"/>
        <v>1.024</v>
      </c>
      <c r="I55" s="34"/>
    </row>
    <row r="56" spans="1:9" ht="28.5" customHeight="1" x14ac:dyDescent="0.2">
      <c r="A56" s="98" t="s">
        <v>49</v>
      </c>
      <c r="B56" s="46" t="s">
        <v>45</v>
      </c>
      <c r="C56" s="31">
        <f>IFERROR(VLOOKUP(A56,[4]CENTRALA!$A$7:$D$100,4,FALSE),0)</f>
        <v>1281</v>
      </c>
      <c r="D56" s="33">
        <f>C56+24</f>
        <v>1305</v>
      </c>
      <c r="E56" s="38">
        <f t="shared" si="0"/>
        <v>24</v>
      </c>
      <c r="F56" s="39">
        <f t="shared" si="1"/>
        <v>1.0186999999999999</v>
      </c>
      <c r="I56" s="34"/>
    </row>
    <row r="57" spans="1:9" ht="28.5" customHeight="1" x14ac:dyDescent="0.2">
      <c r="A57" s="98" t="s">
        <v>50</v>
      </c>
      <c r="B57" s="46" t="s">
        <v>46</v>
      </c>
      <c r="C57" s="31">
        <f>IFERROR(VLOOKUP(A57,[4]CENTRALA!$A$7:$D$100,4,FALSE),0)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  <c r="I57" s="34"/>
    </row>
    <row r="58" spans="1:9" ht="28.5" customHeight="1" x14ac:dyDescent="0.2">
      <c r="A58" s="98" t="s">
        <v>51</v>
      </c>
      <c r="B58" s="46" t="s">
        <v>47</v>
      </c>
      <c r="C58" s="31">
        <f>IFERROR(VLOOKUP(A58,[4]CENTRALA!$A$7:$D$100,4,FALSE),0)</f>
        <v>2519</v>
      </c>
      <c r="D58" s="33">
        <f>C58+36</f>
        <v>2555</v>
      </c>
      <c r="E58" s="38">
        <f t="shared" si="0"/>
        <v>36</v>
      </c>
      <c r="F58" s="39">
        <f t="shared" si="1"/>
        <v>1.0143</v>
      </c>
      <c r="I58" s="34"/>
    </row>
    <row r="59" spans="1:9" ht="28.5" customHeight="1" x14ac:dyDescent="0.2">
      <c r="A59" s="95" t="s">
        <v>23</v>
      </c>
      <c r="B59" s="18" t="s">
        <v>24</v>
      </c>
      <c r="C59" s="31">
        <f>IFERROR(VLOOKUP(A59,[4]CENTRALA!$A$7:$D$100,4,FALSE),0)</f>
        <v>50</v>
      </c>
      <c r="D59" s="33">
        <f t="shared" si="4"/>
        <v>50</v>
      </c>
      <c r="E59" s="38" t="str">
        <f t="shared" si="0"/>
        <v>-</v>
      </c>
      <c r="F59" s="39">
        <f t="shared" si="1"/>
        <v>1</v>
      </c>
      <c r="I59" s="34"/>
    </row>
    <row r="60" spans="1:9" ht="28.5" customHeight="1" x14ac:dyDescent="0.2">
      <c r="A60" s="95" t="s">
        <v>25</v>
      </c>
      <c r="B60" s="18" t="s">
        <v>158</v>
      </c>
      <c r="C60" s="31">
        <f>IFERROR(VLOOKUP(A60,[4]CENTRALA!$A$7:$D$100,4,FALSE),0)</f>
        <v>68048</v>
      </c>
      <c r="D60" s="33">
        <f t="shared" si="4"/>
        <v>68048</v>
      </c>
      <c r="E60" s="38" t="str">
        <f t="shared" si="0"/>
        <v>-</v>
      </c>
      <c r="F60" s="41">
        <f t="shared" si="1"/>
        <v>1</v>
      </c>
      <c r="I60" s="34"/>
    </row>
    <row r="61" spans="1:9" ht="28.5" customHeight="1" x14ac:dyDescent="0.2">
      <c r="A61" s="95" t="s">
        <v>26</v>
      </c>
      <c r="B61" s="18" t="s">
        <v>27</v>
      </c>
      <c r="C61" s="31">
        <f>IFERROR(VLOOKUP(A61,[4]CENTRALA!$A$7:$D$100,4,FALSE),0)</f>
        <v>2377</v>
      </c>
      <c r="D61" s="33">
        <f>C61+4</f>
        <v>2381</v>
      </c>
      <c r="E61" s="38">
        <f t="shared" si="0"/>
        <v>4</v>
      </c>
      <c r="F61" s="39">
        <f t="shared" si="1"/>
        <v>1.0017</v>
      </c>
      <c r="I61" s="34"/>
    </row>
    <row r="62" spans="1:9" ht="30" customHeight="1" x14ac:dyDescent="0.2">
      <c r="A62" s="99" t="s">
        <v>132</v>
      </c>
      <c r="B62" s="77" t="s">
        <v>159</v>
      </c>
      <c r="C62" s="87">
        <f>C63+C64+C65+C66</f>
        <v>7187</v>
      </c>
      <c r="D62" s="87">
        <f>D63+D64+D65+D66</f>
        <v>7187</v>
      </c>
      <c r="E62" s="68" t="str">
        <f t="shared" si="0"/>
        <v>-</v>
      </c>
      <c r="F62" s="88">
        <f t="shared" si="1"/>
        <v>1</v>
      </c>
      <c r="I62" s="34"/>
    </row>
    <row r="63" spans="1:9" ht="42" customHeight="1" x14ac:dyDescent="0.2">
      <c r="A63" s="95" t="s">
        <v>99</v>
      </c>
      <c r="B63" s="18" t="s">
        <v>112</v>
      </c>
      <c r="C63" s="31">
        <f>IFERROR(VLOOKUP(A63,[4]CENTRALA!$A$7:$D$100,4,FALSE),0)</f>
        <v>1185</v>
      </c>
      <c r="D63" s="33">
        <f>C63</f>
        <v>1185</v>
      </c>
      <c r="E63" s="29" t="str">
        <f t="shared" si="0"/>
        <v>-</v>
      </c>
      <c r="F63" s="39">
        <f t="shared" si="1"/>
        <v>1</v>
      </c>
      <c r="I63" s="34"/>
    </row>
    <row r="64" spans="1:9" ht="31.5" customHeight="1" x14ac:dyDescent="0.2">
      <c r="A64" s="95" t="s">
        <v>28</v>
      </c>
      <c r="B64" s="18" t="s">
        <v>53</v>
      </c>
      <c r="C64" s="31">
        <f>IFERROR(VLOOKUP(A64,[4]CENTRALA!$A$7:$D$100,4,FALSE),0)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  <c r="I64" s="34"/>
    </row>
    <row r="65" spans="1:9" ht="31.5" customHeight="1" x14ac:dyDescent="0.2">
      <c r="A65" s="95" t="s">
        <v>29</v>
      </c>
      <c r="B65" s="18" t="s">
        <v>101</v>
      </c>
      <c r="C65" s="31">
        <f>IFERROR(VLOOKUP(A65,[4]CENTRALA!$A$7:$D$100,4,FALSE),0)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  <c r="I65" s="34"/>
    </row>
    <row r="66" spans="1:9" ht="31.5" customHeight="1" x14ac:dyDescent="0.2">
      <c r="A66" s="95" t="s">
        <v>100</v>
      </c>
      <c r="B66" s="18" t="s">
        <v>102</v>
      </c>
      <c r="C66" s="31">
        <f>IFERROR(VLOOKUP(A66,[4]CENTRALA!$A$7:$D$100,4,FALSE),0)</f>
        <v>6002</v>
      </c>
      <c r="D66" s="33">
        <f>C66</f>
        <v>6002</v>
      </c>
      <c r="E66" s="29" t="str">
        <f t="shared" si="0"/>
        <v>-</v>
      </c>
      <c r="F66" s="39">
        <f t="shared" si="1"/>
        <v>1</v>
      </c>
      <c r="I66" s="34"/>
    </row>
    <row r="67" spans="1:9" ht="32.25" customHeight="1" x14ac:dyDescent="0.2">
      <c r="A67" s="99" t="s">
        <v>134</v>
      </c>
      <c r="B67" s="77" t="s">
        <v>113</v>
      </c>
      <c r="C67" s="87">
        <f>IFERROR(VLOOKUP(A67,[4]CENTRALA!$A$7:$D$100,4,FALSE),0)</f>
        <v>14182</v>
      </c>
      <c r="D67" s="87">
        <f>C67</f>
        <v>14182</v>
      </c>
      <c r="E67" s="68" t="str">
        <f t="shared" si="0"/>
        <v>-</v>
      </c>
      <c r="F67" s="88">
        <f t="shared" si="1"/>
        <v>1</v>
      </c>
      <c r="I67" s="34"/>
    </row>
    <row r="73" spans="1:9" x14ac:dyDescent="0.2">
      <c r="C73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view="pageBreakPreview" zoomScale="55" zoomScaleNormal="60" zoomScaleSheetLayoutView="55" workbookViewId="0">
      <pane xSplit="2" ySplit="6" topLeftCell="C3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166</v>
      </c>
      <c r="B2" s="54"/>
      <c r="C2" s="54"/>
    </row>
    <row r="3" spans="1:6" ht="33" customHeight="1" x14ac:dyDescent="0.25">
      <c r="A3" s="90"/>
      <c r="B3" s="5"/>
      <c r="C3" s="35"/>
      <c r="D3" s="43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84418477</v>
      </c>
      <c r="D6" s="83">
        <f>D7+D8+D9+D14+D15+D16+D17+D18+D19+D20+D21+D22+D23+D24+D28+D29+D31+D32+D33+D34+D35</f>
        <v>88555190</v>
      </c>
      <c r="E6" s="68">
        <f>IF(C6=D6,"-",D6-C6)</f>
        <v>4136713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11251594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12307338</v>
      </c>
      <c r="E7" s="38">
        <f t="shared" ref="E7:E67" si="0">IF(C7=D7,"-",D7-C7)</f>
        <v>1055744</v>
      </c>
      <c r="F7" s="39">
        <f t="shared" ref="F7:F67" si="1">IF(C7=0,"-",D7/C7)</f>
        <v>1.0938000000000001</v>
      </c>
    </row>
    <row r="8" spans="1:6" ht="33" customHeight="1" x14ac:dyDescent="0.2">
      <c r="A8" s="92" t="s">
        <v>2</v>
      </c>
      <c r="B8" s="14" t="s">
        <v>117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4835882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5011496</v>
      </c>
      <c r="E8" s="38">
        <f t="shared" si="0"/>
        <v>175614</v>
      </c>
      <c r="F8" s="39">
        <f t="shared" si="1"/>
        <v>1.0363</v>
      </c>
    </row>
    <row r="9" spans="1:6" ht="33" customHeight="1" x14ac:dyDescent="0.2">
      <c r="A9" s="92" t="s">
        <v>3</v>
      </c>
      <c r="B9" s="14" t="s">
        <v>114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44100547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46158538</v>
      </c>
      <c r="E9" s="38">
        <f t="shared" si="0"/>
        <v>2057991</v>
      </c>
      <c r="F9" s="39">
        <f t="shared" si="1"/>
        <v>1.0467</v>
      </c>
    </row>
    <row r="10" spans="1:6" ht="31.5" customHeight="1" x14ac:dyDescent="0.2">
      <c r="A10" s="93" t="s">
        <v>54</v>
      </c>
      <c r="B10" s="45" t="s">
        <v>195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4182842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4202483</v>
      </c>
      <c r="E10" s="38">
        <f t="shared" si="0"/>
        <v>19641</v>
      </c>
      <c r="F10" s="39">
        <f t="shared" si="1"/>
        <v>1.0046999999999999</v>
      </c>
    </row>
    <row r="11" spans="1:6" ht="31.5" customHeight="1" x14ac:dyDescent="0.2">
      <c r="A11" s="93" t="s">
        <v>139</v>
      </c>
      <c r="B11" s="45" t="s">
        <v>142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3791620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3791620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1551813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1565418</v>
      </c>
      <c r="E12" s="38">
        <f t="shared" si="0"/>
        <v>13605</v>
      </c>
      <c r="F12" s="39">
        <f t="shared" si="1"/>
        <v>1.0087999999999999</v>
      </c>
    </row>
    <row r="13" spans="1:6" ht="31.5" customHeight="1" x14ac:dyDescent="0.2">
      <c r="A13" s="93" t="s">
        <v>141</v>
      </c>
      <c r="B13" s="45" t="s">
        <v>144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740505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740505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2894797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3009210</v>
      </c>
      <c r="E14" s="38">
        <f t="shared" si="0"/>
        <v>114413</v>
      </c>
      <c r="F14" s="39">
        <f t="shared" si="1"/>
        <v>1.0395000000000001</v>
      </c>
    </row>
    <row r="15" spans="1:6" ht="33" customHeight="1" x14ac:dyDescent="0.2">
      <c r="A15" s="92" t="s">
        <v>5</v>
      </c>
      <c r="B15" s="14" t="s">
        <v>118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2709468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2861004</v>
      </c>
      <c r="E15" s="38">
        <f t="shared" si="0"/>
        <v>151536</v>
      </c>
      <c r="F15" s="39">
        <f t="shared" si="1"/>
        <v>1.0559000000000001</v>
      </c>
    </row>
    <row r="16" spans="1:6" ht="33" customHeight="1" x14ac:dyDescent="0.2">
      <c r="A16" s="92" t="s">
        <v>6</v>
      </c>
      <c r="B16" s="14" t="s">
        <v>124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1733600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1862531</v>
      </c>
      <c r="E16" s="38">
        <f t="shared" si="0"/>
        <v>128931</v>
      </c>
      <c r="F16" s="39">
        <f t="shared" si="1"/>
        <v>1.0744</v>
      </c>
    </row>
    <row r="17" spans="1:6" ht="33" customHeight="1" x14ac:dyDescent="0.2">
      <c r="A17" s="92" t="s">
        <v>7</v>
      </c>
      <c r="B17" s="14" t="s">
        <v>123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763935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802712</v>
      </c>
      <c r="E17" s="38">
        <f t="shared" si="0"/>
        <v>38777</v>
      </c>
      <c r="F17" s="39">
        <f t="shared" si="1"/>
        <v>1.0508</v>
      </c>
    </row>
    <row r="18" spans="1:6" ht="33" customHeight="1" x14ac:dyDescent="0.2">
      <c r="A18" s="92" t="s">
        <v>8</v>
      </c>
      <c r="B18" s="14" t="s">
        <v>119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1894205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1920533</v>
      </c>
      <c r="E18" s="38">
        <f t="shared" si="0"/>
        <v>26328</v>
      </c>
      <c r="F18" s="39">
        <f t="shared" si="1"/>
        <v>1.0139</v>
      </c>
    </row>
    <row r="19" spans="1:6" ht="33" customHeight="1" x14ac:dyDescent="0.2">
      <c r="A19" s="92" t="s">
        <v>9</v>
      </c>
      <c r="B19" s="14" t="s">
        <v>120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734532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740593</v>
      </c>
      <c r="E19" s="38">
        <f t="shared" si="0"/>
        <v>6061</v>
      </c>
      <c r="F19" s="39">
        <f t="shared" si="1"/>
        <v>1.0083</v>
      </c>
    </row>
    <row r="20" spans="1:6" ht="33" customHeight="1" x14ac:dyDescent="0.2">
      <c r="A20" s="92" t="s">
        <v>10</v>
      </c>
      <c r="B20" s="14" t="s">
        <v>125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53432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53914</v>
      </c>
      <c r="E20" s="38">
        <f t="shared" si="0"/>
        <v>482</v>
      </c>
      <c r="F20" s="39">
        <f t="shared" si="1"/>
        <v>1.0089999999999999</v>
      </c>
    </row>
    <row r="21" spans="1:6" ht="46.5" customHeight="1" x14ac:dyDescent="0.2">
      <c r="A21" s="92" t="s">
        <v>11</v>
      </c>
      <c r="B21" s="14" t="s">
        <v>121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206731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210816</v>
      </c>
      <c r="E21" s="38">
        <f t="shared" si="0"/>
        <v>4085</v>
      </c>
      <c r="F21" s="39">
        <f t="shared" si="1"/>
        <v>1.0198</v>
      </c>
    </row>
    <row r="22" spans="1:6" ht="33" customHeight="1" x14ac:dyDescent="0.2">
      <c r="A22" s="92" t="s">
        <v>12</v>
      </c>
      <c r="B22" s="14" t="s">
        <v>161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2168481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2284570</v>
      </c>
      <c r="E22" s="38">
        <f t="shared" si="0"/>
        <v>116089</v>
      </c>
      <c r="F22" s="39">
        <f t="shared" si="1"/>
        <v>1.0535000000000001</v>
      </c>
    </row>
    <row r="23" spans="1:6" ht="33" customHeight="1" x14ac:dyDescent="0.2">
      <c r="A23" s="92" t="s">
        <v>13</v>
      </c>
      <c r="B23" s="14" t="s">
        <v>145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1199232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1218432</v>
      </c>
      <c r="E23" s="38">
        <f t="shared" si="0"/>
        <v>19200</v>
      </c>
      <c r="F23" s="39">
        <f t="shared" si="1"/>
        <v>1.016</v>
      </c>
    </row>
    <row r="24" spans="1:6" ht="33" customHeight="1" x14ac:dyDescent="0.2">
      <c r="A24" s="94" t="s">
        <v>14</v>
      </c>
      <c r="B24" s="30" t="s">
        <v>176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8703986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8703986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8669158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8669158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20631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20631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14197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14197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32575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250681</v>
      </c>
      <c r="E29" s="38">
        <f t="shared" si="0"/>
        <v>218106</v>
      </c>
      <c r="F29" s="39">
        <f t="shared" si="1"/>
        <v>7.6955</v>
      </c>
    </row>
    <row r="30" spans="1:6" ht="31.5" customHeight="1" x14ac:dyDescent="0.2">
      <c r="A30" s="93" t="s">
        <v>152</v>
      </c>
      <c r="B30" s="45" t="s">
        <v>163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687334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687334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15779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15779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432367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455723</v>
      </c>
      <c r="E35" s="38">
        <f>IF(C35=D35,"-",D35-C35)</f>
        <v>23356</v>
      </c>
      <c r="F35" s="39">
        <f>IF(C35=0,"-",D35/C35)</f>
        <v>1.054</v>
      </c>
    </row>
    <row r="36" spans="1:6" s="2" customFormat="1" ht="33" customHeight="1" x14ac:dyDescent="0.2">
      <c r="A36" s="96" t="s">
        <v>56</v>
      </c>
      <c r="B36" s="17" t="s">
        <v>57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3745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3745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2156832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2156832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733400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733400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7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0</v>
      </c>
      <c r="D39" s="37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13236111</v>
      </c>
      <c r="D40" s="32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13236111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568556</v>
      </c>
      <c r="D41" s="71">
        <f>D42+D43+D44+D52+D54+D60+D61+D59</f>
        <v>576606</v>
      </c>
      <c r="E41" s="68">
        <f t="shared" si="0"/>
        <v>8050</v>
      </c>
      <c r="F41" s="86">
        <f t="shared" si="1"/>
        <v>1.0142</v>
      </c>
    </row>
    <row r="42" spans="1:6" ht="28.5" customHeight="1" x14ac:dyDescent="0.2">
      <c r="A42" s="95" t="s">
        <v>16</v>
      </c>
      <c r="B42" s="18" t="s">
        <v>17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22032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22832</v>
      </c>
      <c r="E42" s="38">
        <f t="shared" si="0"/>
        <v>800</v>
      </c>
      <c r="F42" s="39">
        <f t="shared" si="1"/>
        <v>1.0363</v>
      </c>
    </row>
    <row r="43" spans="1:6" ht="28.5" customHeight="1" x14ac:dyDescent="0.2">
      <c r="A43" s="95" t="s">
        <v>18</v>
      </c>
      <c r="B43" s="18" t="s">
        <v>19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78774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79270</v>
      </c>
      <c r="E43" s="38">
        <f t="shared" si="0"/>
        <v>496</v>
      </c>
      <c r="F43" s="39">
        <f t="shared" si="1"/>
        <v>1.0063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4095</v>
      </c>
      <c r="D44" s="33">
        <f>D45+D47+D48+D49+D50+D51</f>
        <v>4111</v>
      </c>
      <c r="E44" s="38">
        <f t="shared" si="0"/>
        <v>16</v>
      </c>
      <c r="F44" s="39">
        <f t="shared" si="1"/>
        <v>1.0039</v>
      </c>
    </row>
    <row r="45" spans="1:6" ht="28.5" customHeight="1" x14ac:dyDescent="0.2">
      <c r="A45" s="98" t="s">
        <v>37</v>
      </c>
      <c r="B45" s="46" t="s">
        <v>30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569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569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566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566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639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639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8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0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2570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2586</v>
      </c>
      <c r="E50" s="38">
        <f t="shared" si="0"/>
        <v>16</v>
      </c>
      <c r="F50" s="39">
        <f t="shared" si="1"/>
        <v>1.0062</v>
      </c>
    </row>
    <row r="51" spans="1:6" ht="28.5" customHeight="1" x14ac:dyDescent="0.2">
      <c r="A51" s="98" t="s">
        <v>43</v>
      </c>
      <c r="B51" s="46" t="s">
        <v>36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309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309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337132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342692</v>
      </c>
      <c r="E52" s="38">
        <f t="shared" si="0"/>
        <v>5560</v>
      </c>
      <c r="F52" s="39">
        <f t="shared" si="1"/>
        <v>1.0165</v>
      </c>
    </row>
    <row r="53" spans="1:6" ht="28.5" customHeight="1" x14ac:dyDescent="0.2">
      <c r="A53" s="98" t="s">
        <v>156</v>
      </c>
      <c r="B53" s="46" t="s">
        <v>157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1110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1110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75385</v>
      </c>
      <c r="D54" s="29">
        <f>D55+D56+D57+D58</f>
        <v>76531</v>
      </c>
      <c r="E54" s="38">
        <f t="shared" si="0"/>
        <v>1146</v>
      </c>
      <c r="F54" s="39">
        <f t="shared" si="1"/>
        <v>1.0152000000000001</v>
      </c>
    </row>
    <row r="55" spans="1:6" ht="28.5" customHeight="1" x14ac:dyDescent="0.2">
      <c r="A55" s="98" t="s">
        <v>48</v>
      </c>
      <c r="B55" s="46" t="s">
        <v>44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57867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58767</v>
      </c>
      <c r="E55" s="38">
        <f t="shared" si="0"/>
        <v>900</v>
      </c>
      <c r="F55" s="39">
        <f t="shared" si="1"/>
        <v>1.0156000000000001</v>
      </c>
    </row>
    <row r="56" spans="1:6" ht="28.5" customHeight="1" x14ac:dyDescent="0.2">
      <c r="A56" s="98" t="s">
        <v>49</v>
      </c>
      <c r="B56" s="46" t="s">
        <v>45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8264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8360</v>
      </c>
      <c r="E56" s="38">
        <f t="shared" si="0"/>
        <v>96</v>
      </c>
      <c r="F56" s="39">
        <f t="shared" si="1"/>
        <v>1.0116000000000001</v>
      </c>
    </row>
    <row r="57" spans="1:6" ht="28.5" customHeight="1" x14ac:dyDescent="0.2">
      <c r="A57" s="98" t="s">
        <v>50</v>
      </c>
      <c r="B57" s="46" t="s">
        <v>46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9254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9404</v>
      </c>
      <c r="E58" s="38">
        <f t="shared" si="0"/>
        <v>150</v>
      </c>
      <c r="F58" s="39">
        <f t="shared" si="1"/>
        <v>1.0162</v>
      </c>
    </row>
    <row r="59" spans="1:6" ht="28.5" customHeight="1" x14ac:dyDescent="0.2">
      <c r="A59" s="95" t="s">
        <v>23</v>
      </c>
      <c r="B59" s="18" t="s">
        <v>24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0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47063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47063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4075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4107</v>
      </c>
      <c r="E61" s="38">
        <f t="shared" si="0"/>
        <v>32</v>
      </c>
      <c r="F61" s="39">
        <f t="shared" si="1"/>
        <v>1.0079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153236</v>
      </c>
      <c r="D62" s="87">
        <f>D63+D64+D65+D66</f>
        <v>153236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407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407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122128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122128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0</v>
      </c>
      <c r="D65" s="33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30701</v>
      </c>
      <c r="D66" s="33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30701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Dolnośląski!C67+KujawskoPomorski!C67+Lubelski!C67+Lubuski!C67+Łódzki!C67+Małopolski!C67+Mazowiecki!C67+Opolski!C67+Podkarpacki!C67+Podlaski!C67+Pomorski!C67+Śląski!C67+Świętokrzyski!C67+WarmińskoMazurski!C67+Wielkopolski!C67+Zachodniopomorski!C67</f>
        <v>27256</v>
      </c>
      <c r="D67" s="87">
        <f>Dolnośląski!D67+KujawskoPomorski!D67+Lubelski!D67+Lubuski!D67+Łódzki!D67+Małopolski!D67+Mazowiecki!D67+Opolski!D67+Podkarpacki!D67+Podlaski!D67+Pomorski!D67+Śląski!D67+Świętokrzyski!D67+WarmińskoMazurski!D67+Wielkopolski!D67+Zachodniopomorski!D67</f>
        <v>27256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60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50"/>
  </sheetPr>
  <dimension ref="A1:F67"/>
  <sheetViews>
    <sheetView showGridLines="0" view="pageBreakPreview" zoomScale="55" zoomScaleNormal="70" zoomScaleSheetLayoutView="55" workbookViewId="0">
      <pane ySplit="6" topLeftCell="A7" activePane="bottomLeft" state="frozen"/>
      <selection activeCell="J19" sqref="J19"/>
      <selection pane="bottomLef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59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6348949</v>
      </c>
      <c r="D6" s="83">
        <f>D7+D8+D9+D14+D15+D16+D17+D18+D19+D20+D21+D22+D23+D24+D28+D29+D31+D32+D33+D34+D35</f>
        <v>6659839</v>
      </c>
      <c r="E6" s="68">
        <f>IF(C6=D6,"-",D6-C6)</f>
        <v>310890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IFERROR(VLOOKUP(A7,[4]Dolnośląski!$A$7:$D$100,4,FALSE),0)</f>
        <v>831047</v>
      </c>
      <c r="D7" s="13">
        <f>C7+107000</f>
        <v>938047</v>
      </c>
      <c r="E7" s="38">
        <f t="shared" ref="E7:E67" si="0">IF(C7=D7,"-",D7-C7)</f>
        <v>107000</v>
      </c>
      <c r="F7" s="39">
        <f t="shared" ref="F7:F67" si="1">IF(C7=0,"-",D7/C7)</f>
        <v>1.1288</v>
      </c>
    </row>
    <row r="8" spans="1:6" ht="33" customHeight="1" x14ac:dyDescent="0.2">
      <c r="A8" s="92" t="s">
        <v>2</v>
      </c>
      <c r="B8" s="14" t="s">
        <v>117</v>
      </c>
      <c r="C8" s="31">
        <f>IFERROR(VLOOKUP(A8,[4]Dolnośląski!$A$7:$D$100,4,FALSE),0)</f>
        <v>390702</v>
      </c>
      <c r="D8" s="13">
        <f>C8+24934</f>
        <v>415636</v>
      </c>
      <c r="E8" s="38">
        <f>IF(C8=D8,"-",D8-C8)</f>
        <v>24934</v>
      </c>
      <c r="F8" s="39">
        <f t="shared" si="1"/>
        <v>1.0638000000000001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IFERROR(VLOOKUP(A9,[4]Dolnośląski!$A$7:$D$100,4,FALSE),0)</f>
        <v>3321210</v>
      </c>
      <c r="D9" s="13">
        <f>C9+95411</f>
        <v>3416621</v>
      </c>
      <c r="E9" s="38">
        <f t="shared" si="0"/>
        <v>95411</v>
      </c>
      <c r="F9" s="39">
        <f t="shared" si="1"/>
        <v>1.0286999999999999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IFERROR(VLOOKUP(A10,[4]Dolnośląski!$A$7:$D$100,4,FALSE),0)</f>
        <v>357743</v>
      </c>
      <c r="D10" s="13">
        <f>C10+2200</f>
        <v>359943</v>
      </c>
      <c r="E10" s="38">
        <f t="shared" si="0"/>
        <v>2200</v>
      </c>
      <c r="F10" s="39">
        <f t="shared" si="1"/>
        <v>1.0061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IFERROR(VLOOKUP(A11,[4]Dolnośląski!$A$7:$D$100,4,FALSE),0)</f>
        <v>325500</v>
      </c>
      <c r="D11" s="13">
        <f t="shared" ref="D11:D34" si="2">C11</f>
        <v>325500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IFERROR(VLOOKUP(A12,[4]Dolnośląski!$A$7:$D$100,4,FALSE),0)</f>
        <v>122921</v>
      </c>
      <c r="D12" s="13">
        <f t="shared" si="2"/>
        <v>122921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IFERROR(VLOOKUP(A13,[4]Dolnośląski!$A$7:$D$100,4,FALSE),0)</f>
        <v>58186</v>
      </c>
      <c r="D13" s="13">
        <f t="shared" si="2"/>
        <v>58186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IFERROR(VLOOKUP(A14,[4]Dolnośląski!$A$7:$D$100,4,FALSE),0)</f>
        <v>241539</v>
      </c>
      <c r="D14" s="13">
        <f>C14+19695</f>
        <v>261234</v>
      </c>
      <c r="E14" s="38">
        <f t="shared" si="0"/>
        <v>19695</v>
      </c>
      <c r="F14" s="39">
        <f t="shared" si="1"/>
        <v>1.0814999999999999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IFERROR(VLOOKUP(A15,[4]Dolnośląski!$A$7:$D$100,4,FALSE),0)</f>
        <v>197489</v>
      </c>
      <c r="D15" s="13">
        <f>C15+19807</f>
        <v>217296</v>
      </c>
      <c r="E15" s="38">
        <f t="shared" si="0"/>
        <v>19807</v>
      </c>
      <c r="F15" s="39">
        <f t="shared" si="1"/>
        <v>1.1003000000000001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IFERROR(VLOOKUP(A16,[4]Dolnośląski!$A$7:$D$100,4,FALSE),0)</f>
        <v>141217</v>
      </c>
      <c r="D16" s="13">
        <f>C16+25949</f>
        <v>167166</v>
      </c>
      <c r="E16" s="38">
        <f t="shared" si="0"/>
        <v>25949</v>
      </c>
      <c r="F16" s="39">
        <f t="shared" si="1"/>
        <v>1.1838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IFERROR(VLOOKUP(A17,[4]Dolnośląski!$A$7:$D$100,4,FALSE),0)</f>
        <v>72224</v>
      </c>
      <c r="D17" s="13">
        <f>C17+5363</f>
        <v>77587</v>
      </c>
      <c r="E17" s="38">
        <f t="shared" si="0"/>
        <v>5363</v>
      </c>
      <c r="F17" s="39">
        <f t="shared" si="1"/>
        <v>1.0743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IFERROR(VLOOKUP(A18,[4]Dolnośląski!$A$7:$D$100,4,FALSE),0)</f>
        <v>124217</v>
      </c>
      <c r="D18" s="13">
        <f>C18+1939</f>
        <v>126156</v>
      </c>
      <c r="E18" s="38">
        <f t="shared" si="0"/>
        <v>1939</v>
      </c>
      <c r="F18" s="39">
        <f t="shared" si="1"/>
        <v>1.0156000000000001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IFERROR(VLOOKUP(A19,[4]Dolnośląski!$A$7:$D$100,4,FALSE),0)</f>
        <v>71270</v>
      </c>
      <c r="D19" s="13">
        <f t="shared" si="2"/>
        <v>71270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IFERROR(VLOOKUP(A20,[4]Dolnośląski!$A$7:$D$100,4,FALSE),0)</f>
        <v>4684</v>
      </c>
      <c r="D20" s="13">
        <f t="shared" si="2"/>
        <v>4684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IFERROR(VLOOKUP(A21,[4]Dolnośląski!$A$7:$D$100,4,FALSE),0)</f>
        <v>15598</v>
      </c>
      <c r="D21" s="13">
        <f>C21+197</f>
        <v>15795</v>
      </c>
      <c r="E21" s="38">
        <f t="shared" si="0"/>
        <v>197</v>
      </c>
      <c r="F21" s="39">
        <f t="shared" si="1"/>
        <v>1.0125999999999999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IFERROR(VLOOKUP(A22,[4]Dolnośląski!$A$7:$D$100,4,FALSE),0)</f>
        <v>152649</v>
      </c>
      <c r="D22" s="13">
        <f>C22+5095</f>
        <v>157744</v>
      </c>
      <c r="E22" s="38">
        <f t="shared" si="0"/>
        <v>5095</v>
      </c>
      <c r="F22" s="39">
        <f t="shared" si="1"/>
        <v>1.0334000000000001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IFERROR(VLOOKUP(A23,[4]Dolnośląski!$A$7:$D$100,4,FALSE),0)</f>
        <v>89366</v>
      </c>
      <c r="D23" s="13">
        <f>C23+5500</f>
        <v>94866</v>
      </c>
      <c r="E23" s="38">
        <f t="shared" si="0"/>
        <v>5500</v>
      </c>
      <c r="F23" s="39">
        <f t="shared" si="1"/>
        <v>1.0615000000000001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IFERROR(VLOOKUP(A24,[4]Dolnośląski!$A$7:$D$100,4,FALSE),0)</f>
        <v>638333</v>
      </c>
      <c r="D24" s="13">
        <f t="shared" si="2"/>
        <v>638333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IFERROR(VLOOKUP(A25,[4]Dolnośląski!$A$7:$D$100,4,FALSE),0)</f>
        <v>636333</v>
      </c>
      <c r="D25" s="13">
        <f t="shared" si="2"/>
        <v>636333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IFERROR(VLOOKUP(A26,[4]Dolnośląski!$A$7:$D$100,4,FALSE),0)</f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IFERROR(VLOOKUP(A27,[4]Dolnośląski!$A$7:$D$100,4,FALSE),0)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IFERROR(VLOOKUP(A28,[4]Dolnośląski!$A$7:$D$100,4,FALSE),0)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IFERROR(VLOOKUP(A29,[4]Dolnośląski!$A$7:$D$100,4,FALSE),0)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IFERROR(VLOOKUP(A30,[4]Dolnośląski!$A$7:$D$100,4,FALSE),0)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IFERROR(VLOOKUP(A31,[4]Dolnośląski!$A$7:$D$100,4,FALSE),0)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IFERROR(VLOOKUP(A32,[4]Dolnośląski!$A$7:$D$100,4,FALSE),0)</f>
        <v>38298</v>
      </c>
      <c r="D32" s="13">
        <f t="shared" si="2"/>
        <v>38298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IFERROR(VLOOKUP(A33,[4]Dolnośląski!$A$7:$D$100,4,FALSE),0)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IFERROR(VLOOKUP(A34,[4]Dolnośląski!$A$7:$D$100,4,FALSE),0)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IFERROR(VLOOKUP(A35,[4]Dolnośląski!$A$7:$D$100,4,FALSE),0)</f>
        <v>19006</v>
      </c>
      <c r="D35" s="13">
        <f t="shared" ref="D35" si="3">C35</f>
        <v>19006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IFERROR(VLOOKUP(A36,[4]Dolnośląski!$A$7:$D$100,4,FALSE),0)</f>
        <v>428</v>
      </c>
      <c r="D36" s="37">
        <f>C36</f>
        <v>428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IFERROR(VLOOKUP(A37,[4]Dolnośląski!$A$7:$D$100,4,FALSE),0)</f>
        <v>160014</v>
      </c>
      <c r="D37" s="37">
        <f>C37</f>
        <v>160014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IFERROR(VLOOKUP(A38,[4]Dolnośląski!$A$7:$D$100,4,FALSE),0)</f>
        <v>56029</v>
      </c>
      <c r="D38" s="37">
        <f>C38</f>
        <v>56029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IFERROR(VLOOKUP(A39,[4]Dolnośląski!$A$7:$D$100,4,FALSE),0)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1022019</v>
      </c>
      <c r="D40" s="32">
        <f>D11+D13+D24+D30</f>
        <v>1022019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39487</v>
      </c>
      <c r="D41" s="71">
        <f>D42+D43+D44+D52+D54+D60+D61+D59</f>
        <v>40032</v>
      </c>
      <c r="E41" s="68">
        <f t="shared" si="0"/>
        <v>545</v>
      </c>
      <c r="F41" s="86">
        <f t="shared" si="1"/>
        <v>1.0138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IFERROR(VLOOKUP(A42,[4]Dolnośląski!$A$7:$D$100,4,FALSE),0)</f>
        <v>1587</v>
      </c>
      <c r="D42" s="33">
        <f>C42+50</f>
        <v>1637</v>
      </c>
      <c r="E42" s="38">
        <f t="shared" si="0"/>
        <v>50</v>
      </c>
      <c r="F42" s="39">
        <f t="shared" si="1"/>
        <v>1.0315000000000001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IFERROR(VLOOKUP(A43,[4]Dolnośląski!$A$7:$D$100,4,FALSE),0)</f>
        <v>5252</v>
      </c>
      <c r="D43" s="33">
        <f>C43+31</f>
        <v>5283</v>
      </c>
      <c r="E43" s="38">
        <f t="shared" si="0"/>
        <v>31</v>
      </c>
      <c r="F43" s="39">
        <f t="shared" si="1"/>
        <v>1.0059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367</v>
      </c>
      <c r="D44" s="33">
        <f>D45+D47+D48+D49+D50+D51</f>
        <v>368</v>
      </c>
      <c r="E44" s="38">
        <f t="shared" si="0"/>
        <v>1</v>
      </c>
      <c r="F44" s="39">
        <f t="shared" si="1"/>
        <v>1.0026999999999999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IFERROR(VLOOKUP(A45,[4]Dolnośląski!$A$7:$D$100,4,FALSE),0)</f>
        <v>56</v>
      </c>
      <c r="D45" s="33">
        <f t="shared" ref="D45:D60" si="4">C45</f>
        <v>56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IFERROR(VLOOKUP(A46,[4]Dolnośląski!$A$7:$D$100,4,FALSE),0)</f>
        <v>56</v>
      </c>
      <c r="D46" s="33">
        <f t="shared" si="4"/>
        <v>56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IFERROR(VLOOKUP(A47,[4]Dolnośląski!$A$7:$D$100,4,FALSE),0)</f>
        <v>70</v>
      </c>
      <c r="D47" s="33">
        <f t="shared" si="4"/>
        <v>70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IFERROR(VLOOKUP(A48,[4]Dolnośląski!$A$7:$D$100,4,FALSE),0)</f>
        <v>1</v>
      </c>
      <c r="D48" s="33">
        <f t="shared" si="4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IFERROR(VLOOKUP(A49,[4]Dolnośląski!$A$7:$D$100,4,FALSE),0)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IFERROR(VLOOKUP(A50,[4]Dolnośląski!$A$7:$D$100,4,FALSE),0)</f>
        <v>238</v>
      </c>
      <c r="D50" s="33">
        <f>C50+1</f>
        <v>239</v>
      </c>
      <c r="E50" s="38">
        <f t="shared" si="0"/>
        <v>1</v>
      </c>
      <c r="F50" s="39">
        <f t="shared" si="1"/>
        <v>1.0042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IFERROR(VLOOKUP(A51,[4]Dolnośląski!$A$7:$D$100,4,FALSE),0)</f>
        <v>2</v>
      </c>
      <c r="D51" s="33">
        <f t="shared" si="4"/>
        <v>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IFERROR(VLOOKUP(A52,[4]Dolnośląski!$A$7:$D$100,4,FALSE),0)</f>
        <v>24389</v>
      </c>
      <c r="D52" s="33">
        <f>C52+382</f>
        <v>24771</v>
      </c>
      <c r="E52" s="38">
        <f t="shared" si="0"/>
        <v>382</v>
      </c>
      <c r="F52" s="39">
        <f t="shared" si="1"/>
        <v>1.0157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IFERROR(VLOOKUP(A53,[4]Dolnośląski!$A$7:$D$100,4,FALSE),0)</f>
        <v>100</v>
      </c>
      <c r="D53" s="33">
        <f t="shared" si="4"/>
        <v>100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5451</v>
      </c>
      <c r="D54" s="29">
        <f>D55+D56+D57+D58</f>
        <v>5530</v>
      </c>
      <c r="E54" s="38">
        <f t="shared" si="0"/>
        <v>79</v>
      </c>
      <c r="F54" s="39">
        <f t="shared" si="1"/>
        <v>1.0145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IFERROR(VLOOKUP(A55,[4]Dolnośląski!$A$7:$D$100,4,FALSE),0)</f>
        <v>4184</v>
      </c>
      <c r="D55" s="33">
        <f>C55+62</f>
        <v>4246</v>
      </c>
      <c r="E55" s="38">
        <f t="shared" si="0"/>
        <v>62</v>
      </c>
      <c r="F55" s="39">
        <f t="shared" si="1"/>
        <v>1.0147999999999999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IFERROR(VLOOKUP(A56,[4]Dolnośląski!$A$7:$D$100,4,FALSE),0)</f>
        <v>598</v>
      </c>
      <c r="D56" s="33">
        <f>C56+7</f>
        <v>605</v>
      </c>
      <c r="E56" s="38">
        <f t="shared" si="0"/>
        <v>7</v>
      </c>
      <c r="F56" s="39">
        <f t="shared" si="1"/>
        <v>1.0117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IFERROR(VLOOKUP(A57,[4]Dolnośląski!$A$7:$D$100,4,FALSE),0)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IFERROR(VLOOKUP(A58,[4]Dolnośląski!$A$7:$D$100,4,FALSE),0)</f>
        <v>669</v>
      </c>
      <c r="D58" s="33">
        <f>C58+10</f>
        <v>679</v>
      </c>
      <c r="E58" s="38">
        <f t="shared" si="0"/>
        <v>10</v>
      </c>
      <c r="F58" s="39">
        <f t="shared" si="1"/>
        <v>1.0148999999999999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IFERROR(VLOOKUP(A59,[4]Dolnośląski!$A$7:$D$100,4,FALSE),0)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IFERROR(VLOOKUP(A60,[4]Dolnośląski!$A$7:$D$100,4,FALSE),0)</f>
        <v>2235</v>
      </c>
      <c r="D60" s="33">
        <f t="shared" si="4"/>
        <v>2235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IFERROR(VLOOKUP(A61,[4]Dolnośląski!$A$7:$D$100,4,FALSE),0)</f>
        <v>206</v>
      </c>
      <c r="D61" s="33">
        <f>C61+2</f>
        <v>208</v>
      </c>
      <c r="E61" s="38">
        <f t="shared" si="0"/>
        <v>2</v>
      </c>
      <c r="F61" s="39">
        <f t="shared" si="1"/>
        <v>1.0097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10474</v>
      </c>
      <c r="D62" s="87">
        <f>D63+D64+D65+D66</f>
        <v>10474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IFERROR(VLOOKUP(A63,[4]Dolnośląski!$A$7:$D$100,4,FALSE),0)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IFERROR(VLOOKUP(A64,[4]Dolnośląski!$A$7:$D$100,4,FALSE),0)</f>
        <v>8814</v>
      </c>
      <c r="D64" s="33">
        <f>C64</f>
        <v>8814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IFERROR(VLOOKUP(A65,[4]Dolnośląski!$A$7:$D$100,4,FALSE),0)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IFERROR(VLOOKUP(A66,[4]Dolnośląski!$A$7:$D$100,4,FALSE),0)</f>
        <v>1660</v>
      </c>
      <c r="D66" s="33">
        <f>C66</f>
        <v>1660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IFERROR(VLOOKUP(A67,[4]Dolnośląski!$A$7:$D$100,4,FALSE),0)</f>
        <v>1117</v>
      </c>
      <c r="D67" s="87">
        <f>C67</f>
        <v>1117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4542761</v>
      </c>
      <c r="D6" s="83">
        <f>D7+D8+D9+D14+D15+D16+D17+D18+D19+D20+D21+D22+D23+D24+D28+D29+D31+D32+D33+D34+D35</f>
        <v>4763939</v>
      </c>
      <c r="E6" s="68">
        <f>IF(C6=D6,"-",D6-C6)</f>
        <v>221178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IFERROR(VLOOKUP(A7,[4]KujawskoPomorski!$A$7:$D$100,4,FALSE),0)</f>
        <v>599095</v>
      </c>
      <c r="D7" s="13">
        <f>C7+60219</f>
        <v>659314</v>
      </c>
      <c r="E7" s="38">
        <f t="shared" ref="E7:E67" si="0">IF(C7=D7,"-",D7-C7)</f>
        <v>60219</v>
      </c>
      <c r="F7" s="39">
        <f t="shared" ref="F7:F67" si="1">IF(C7=0,"-",D7/C7)</f>
        <v>1.1005</v>
      </c>
    </row>
    <row r="8" spans="1:6" ht="33" customHeight="1" x14ac:dyDescent="0.2">
      <c r="A8" s="92" t="s">
        <v>2</v>
      </c>
      <c r="B8" s="14" t="s">
        <v>117</v>
      </c>
      <c r="C8" s="31">
        <f>IFERROR(VLOOKUP(A8,[4]KujawskoPomorski!$A$7:$D$100,4,FALSE),0)</f>
        <v>222048</v>
      </c>
      <c r="D8" s="13">
        <f>C8+14651</f>
        <v>236699</v>
      </c>
      <c r="E8" s="38">
        <f t="shared" si="0"/>
        <v>14651</v>
      </c>
      <c r="F8" s="39">
        <f t="shared" si="1"/>
        <v>1.0660000000000001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IFERROR(VLOOKUP(A9,[4]KujawskoPomorski!$A$7:$D$100,4,FALSE),0)</f>
        <v>2368077</v>
      </c>
      <c r="D9" s="13">
        <f>C9+107862-5149</f>
        <v>2470790</v>
      </c>
      <c r="E9" s="38">
        <f t="shared" si="0"/>
        <v>102713</v>
      </c>
      <c r="F9" s="39">
        <f t="shared" si="1"/>
        <v>1.0434000000000001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IFERROR(VLOOKUP(A10,[4]KujawskoPomorski!$A$7:$D$100,4,FALSE),0)</f>
        <v>195414</v>
      </c>
      <c r="D10" s="13">
        <f>C10+7985-5149</f>
        <v>198250</v>
      </c>
      <c r="E10" s="38">
        <f t="shared" si="0"/>
        <v>2836</v>
      </c>
      <c r="F10" s="39">
        <f t="shared" si="1"/>
        <v>1.0145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IFERROR(VLOOKUP(A11,[4]KujawskoPomorski!$A$7:$D$100,4,FALSE),0)</f>
        <v>175649</v>
      </c>
      <c r="D11" s="13">
        <f>C11+5149-5149</f>
        <v>175649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IFERROR(VLOOKUP(A12,[4]KujawskoPomorski!$A$7:$D$100,4,FALSE),0)</f>
        <v>79084</v>
      </c>
      <c r="D12" s="13">
        <f>C12+2300</f>
        <v>81384</v>
      </c>
      <c r="E12" s="38">
        <f t="shared" si="0"/>
        <v>2300</v>
      </c>
      <c r="F12" s="39">
        <f t="shared" si="1"/>
        <v>1.0290999999999999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IFERROR(VLOOKUP(A13,[4]KujawskoPomorski!$A$7:$D$100,4,FALSE),0)</f>
        <v>37364</v>
      </c>
      <c r="D13" s="13">
        <f t="shared" ref="D13:D34" si="2">C13</f>
        <v>37364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IFERROR(VLOOKUP(A14,[4]KujawskoPomorski!$A$7:$D$100,4,FALSE),0)</f>
        <v>155050</v>
      </c>
      <c r="D14" s="13">
        <f>C14+6666</f>
        <v>161716</v>
      </c>
      <c r="E14" s="38">
        <f t="shared" si="0"/>
        <v>6666</v>
      </c>
      <c r="F14" s="39">
        <f t="shared" si="1"/>
        <v>1.0429999999999999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IFERROR(VLOOKUP(A15,[4]KujawskoPomorski!$A$7:$D$100,4,FALSE),0)</f>
        <v>127783</v>
      </c>
      <c r="D15" s="13">
        <f>C15+7350</f>
        <v>135133</v>
      </c>
      <c r="E15" s="38">
        <f t="shared" si="0"/>
        <v>7350</v>
      </c>
      <c r="F15" s="39">
        <f t="shared" si="1"/>
        <v>1.0575000000000001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IFERROR(VLOOKUP(A16,[4]KujawskoPomorski!$A$7:$D$100,4,FALSE),0)</f>
        <v>76558</v>
      </c>
      <c r="D16" s="13">
        <f>C16+7239</f>
        <v>83797</v>
      </c>
      <c r="E16" s="38">
        <f t="shared" si="0"/>
        <v>7239</v>
      </c>
      <c r="F16" s="39">
        <f t="shared" si="1"/>
        <v>1.0946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IFERROR(VLOOKUP(A17,[4]KujawskoPomorski!$A$7:$D$100,4,FALSE),0)</f>
        <v>48575</v>
      </c>
      <c r="D17" s="13">
        <f>C17+2297</f>
        <v>50872</v>
      </c>
      <c r="E17" s="38">
        <f t="shared" si="0"/>
        <v>2297</v>
      </c>
      <c r="F17" s="39">
        <f t="shared" si="1"/>
        <v>1.0472999999999999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IFERROR(VLOOKUP(A18,[4]KujawskoPomorski!$A$7:$D$100,4,FALSE),0)</f>
        <v>101296</v>
      </c>
      <c r="D18" s="13">
        <f>C18+1550</f>
        <v>102846</v>
      </c>
      <c r="E18" s="38">
        <f t="shared" si="0"/>
        <v>1550</v>
      </c>
      <c r="F18" s="39">
        <f t="shared" si="1"/>
        <v>1.0153000000000001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IFERROR(VLOOKUP(A19,[4]KujawskoPomorski!$A$7:$D$100,4,FALSE),0)</f>
        <v>40732</v>
      </c>
      <c r="D19" s="13">
        <f t="shared" si="2"/>
        <v>40732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IFERROR(VLOOKUP(A20,[4]KujawskoPomorski!$A$7:$D$100,4,FALSE),0)</f>
        <v>3050</v>
      </c>
      <c r="D20" s="13">
        <f t="shared" si="2"/>
        <v>3050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IFERROR(VLOOKUP(A21,[4]KujawskoPomorski!$A$7:$D$100,4,FALSE),0)</f>
        <v>12589</v>
      </c>
      <c r="D21" s="13">
        <f t="shared" si="2"/>
        <v>12589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IFERROR(VLOOKUP(A22,[4]KujawskoPomorski!$A$7:$D$100,4,FALSE),0)</f>
        <v>112901</v>
      </c>
      <c r="D22" s="13">
        <f>C22+7056</f>
        <v>119957</v>
      </c>
      <c r="E22" s="38">
        <f t="shared" si="0"/>
        <v>7056</v>
      </c>
      <c r="F22" s="39">
        <f t="shared" si="1"/>
        <v>1.0625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IFERROR(VLOOKUP(A23,[4]KujawskoPomorski!$A$7:$D$100,4,FALSE),0)</f>
        <v>59500</v>
      </c>
      <c r="D23" s="13">
        <f>C23+6011</f>
        <v>65511</v>
      </c>
      <c r="E23" s="38">
        <f t="shared" si="0"/>
        <v>6011</v>
      </c>
      <c r="F23" s="39">
        <f t="shared" si="1"/>
        <v>1.101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IFERROR(VLOOKUP(A24,[4]KujawskoPomorski!$A$7:$D$100,4,FALSE),0)</f>
        <v>522532</v>
      </c>
      <c r="D24" s="13">
        <f t="shared" si="2"/>
        <v>522532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IFERROR(VLOOKUP(A25,[4]KujawskoPomorski!$A$7:$D$100,4,FALSE),0)</f>
        <v>521489</v>
      </c>
      <c r="D25" s="13">
        <f t="shared" si="2"/>
        <v>521489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IFERROR(VLOOKUP(A26,[4]KujawskoPomorski!$A$7:$D$100,4,FALSE),0)</f>
        <v>545</v>
      </c>
      <c r="D26" s="13">
        <f t="shared" si="2"/>
        <v>545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IFERROR(VLOOKUP(A27,[4]KujawskoPomorski!$A$7:$D$100,4,FALSE),0)</f>
        <v>498</v>
      </c>
      <c r="D27" s="13">
        <f t="shared" si="2"/>
        <v>498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IFERROR(VLOOKUP(A28,[4]KujawskoPomorski!$A$7:$D$100,4,FALSE),0)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IFERROR(VLOOKUP(A29,[4]KujawskoPomorski!$A$7:$D$100,4,FALSE),0)</f>
        <v>0</v>
      </c>
      <c r="D29" s="13">
        <f>C29+5149</f>
        <v>5149</v>
      </c>
      <c r="E29" s="38">
        <f t="shared" si="0"/>
        <v>5149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IFERROR(VLOOKUP(A30,[4]KujawskoPomorski!$A$7:$D$100,4,FALSE),0)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IFERROR(VLOOKUP(A31,[4]KujawskoPomorski!$A$7:$D$100,4,FALSE),0)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IFERROR(VLOOKUP(A32,[4]KujawskoPomorski!$A$7:$D$100,4,FALSE),0)</f>
        <v>73925</v>
      </c>
      <c r="D32" s="13">
        <f>C32</f>
        <v>73925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IFERROR(VLOOKUP(A33,[4]KujawskoPomorski!$A$7:$D$100,4,FALSE),0)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IFERROR(VLOOKUP(A34,[4]KujawskoPomorski!$A$7:$D$100,4,FALSE),0)</f>
        <v>400</v>
      </c>
      <c r="D34" s="13">
        <f t="shared" si="2"/>
        <v>400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IFERROR(VLOOKUP(A35,[4]KujawskoPomorski!$A$7:$D$100,4,FALSE),0)</f>
        <v>18650</v>
      </c>
      <c r="D35" s="13">
        <f>C35+277</f>
        <v>18927</v>
      </c>
      <c r="E35" s="38">
        <f>IF(C35=D35,"-",D35-C35)</f>
        <v>277</v>
      </c>
      <c r="F35" s="39">
        <f>IF(C35=0,"-",D35/C35)</f>
        <v>1.0148999999999999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IFERROR(VLOOKUP(A36,[4]KujawskoPomorski!$A$7:$D$100,4,FALSE),0)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IFERROR(VLOOKUP(A37,[4]KujawskoPomorski!$A$7:$D$100,4,FALSE),0)</f>
        <v>127245</v>
      </c>
      <c r="D37" s="37">
        <f>C37</f>
        <v>127245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IFERROR(VLOOKUP(A38,[4]KujawskoPomorski!$A$7:$D$100,4,FALSE),0)</f>
        <v>41451</v>
      </c>
      <c r="D38" s="37">
        <f>C38</f>
        <v>41451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IFERROR(VLOOKUP(A39,[4]KujawskoPomorski!$A$7:$D$100,4,FALSE),0)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735545</v>
      </c>
      <c r="D40" s="32">
        <f>D11+D13+D24+D30</f>
        <v>735545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36239</v>
      </c>
      <c r="D41" s="71">
        <f>D42+D43+D44+D52+D54+D60+D61+D59</f>
        <v>36700</v>
      </c>
      <c r="E41" s="68">
        <f t="shared" si="0"/>
        <v>461</v>
      </c>
      <c r="F41" s="86">
        <f t="shared" si="1"/>
        <v>1.0126999999999999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IFERROR(VLOOKUP(A42,[4]KujawskoPomorski!$A$7:$D$100,4,FALSE),0)</f>
        <v>1390</v>
      </c>
      <c r="D42" s="33">
        <f>C42+50</f>
        <v>1440</v>
      </c>
      <c r="E42" s="38">
        <f t="shared" si="0"/>
        <v>50</v>
      </c>
      <c r="F42" s="39">
        <f t="shared" si="1"/>
        <v>1.036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IFERROR(VLOOKUP(A43,[4]KujawskoPomorski!$A$7:$D$100,4,FALSE),0)</f>
        <v>6028</v>
      </c>
      <c r="D43" s="33">
        <f>C43+31</f>
        <v>6059</v>
      </c>
      <c r="E43" s="38">
        <f t="shared" si="0"/>
        <v>31</v>
      </c>
      <c r="F43" s="39">
        <f t="shared" si="1"/>
        <v>1.0051000000000001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281</v>
      </c>
      <c r="D44" s="33">
        <f>D45+D47+D48+D49+D50+D51</f>
        <v>282</v>
      </c>
      <c r="E44" s="38">
        <f t="shared" si="0"/>
        <v>1</v>
      </c>
      <c r="F44" s="39">
        <f t="shared" si="1"/>
        <v>1.0036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IFERROR(VLOOKUP(A45,[4]KujawskoPomorski!$A$7:$D$100,4,FALSE),0)</f>
        <v>61</v>
      </c>
      <c r="D45" s="33">
        <f t="shared" ref="D45:D60" si="3">C45</f>
        <v>61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IFERROR(VLOOKUP(A46,[4]KujawskoPomorski!$A$7:$D$100,4,FALSE),0)</f>
        <v>61</v>
      </c>
      <c r="D46" s="33">
        <f t="shared" si="3"/>
        <v>61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IFERROR(VLOOKUP(A47,[4]KujawskoPomorski!$A$7:$D$100,4,FALSE),0)</f>
        <v>25</v>
      </c>
      <c r="D47" s="33">
        <f t="shared" si="3"/>
        <v>25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IFERROR(VLOOKUP(A48,[4]KujawskoPomorski!$A$7:$D$100,4,FALSE),0)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IFERROR(VLOOKUP(A49,[4]KujawskoPomorski!$A$7:$D$100,4,FALSE),0)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IFERROR(VLOOKUP(A50,[4]KujawskoPomorski!$A$7:$D$100,4,FALSE),0)</f>
        <v>180</v>
      </c>
      <c r="D50" s="33">
        <f>C50+1</f>
        <v>181</v>
      </c>
      <c r="E50" s="38">
        <f t="shared" si="0"/>
        <v>1</v>
      </c>
      <c r="F50" s="39">
        <f t="shared" si="1"/>
        <v>1.0056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IFERROR(VLOOKUP(A51,[4]KujawskoPomorski!$A$7:$D$100,4,FALSE),0)</f>
        <v>15</v>
      </c>
      <c r="D51" s="33">
        <f t="shared" si="3"/>
        <v>15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IFERROR(VLOOKUP(A52,[4]KujawskoPomorski!$A$7:$D$100,4,FALSE),0)</f>
        <v>17168</v>
      </c>
      <c r="D52" s="33">
        <f>C52+313</f>
        <v>17481</v>
      </c>
      <c r="E52" s="38">
        <f t="shared" si="0"/>
        <v>313</v>
      </c>
      <c r="F52" s="39">
        <f t="shared" si="1"/>
        <v>1.0182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IFERROR(VLOOKUP(A53,[4]KujawskoPomorski!$A$7:$D$100,4,FALSE),0)</f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3839</v>
      </c>
      <c r="D54" s="29">
        <f>D55+D56+D57+D58</f>
        <v>3903</v>
      </c>
      <c r="E54" s="38">
        <f t="shared" si="0"/>
        <v>64</v>
      </c>
      <c r="F54" s="39">
        <f t="shared" si="1"/>
        <v>1.0166999999999999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IFERROR(VLOOKUP(A55,[4]KujawskoPomorski!$A$7:$D$100,4,FALSE),0)</f>
        <v>2947</v>
      </c>
      <c r="D55" s="33">
        <f>C55+51</f>
        <v>2998</v>
      </c>
      <c r="E55" s="38">
        <f t="shared" si="0"/>
        <v>51</v>
      </c>
      <c r="F55" s="39">
        <f t="shared" si="1"/>
        <v>1.0173000000000001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IFERROR(VLOOKUP(A56,[4]KujawskoPomorski!$A$7:$D$100,4,FALSE),0)</f>
        <v>421</v>
      </c>
      <c r="D56" s="33">
        <f>C56+5</f>
        <v>426</v>
      </c>
      <c r="E56" s="38">
        <f t="shared" si="0"/>
        <v>5</v>
      </c>
      <c r="F56" s="39">
        <f t="shared" si="1"/>
        <v>1.0119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IFERROR(VLOOKUP(A57,[4]KujawskoPomorski!$A$7:$D$100,4,FALSE),0)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IFERROR(VLOOKUP(A58,[4]KujawskoPomorski!$A$7:$D$100,4,FALSE),0)</f>
        <v>471</v>
      </c>
      <c r="D58" s="33">
        <f>C58+8</f>
        <v>479</v>
      </c>
      <c r="E58" s="38">
        <f t="shared" si="0"/>
        <v>8</v>
      </c>
      <c r="F58" s="39">
        <f t="shared" si="1"/>
        <v>1.0169999999999999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IFERROR(VLOOKUP(A59,[4]KujawskoPomorski!$A$7:$D$100,4,FALSE),0)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IFERROR(VLOOKUP(A60,[4]KujawskoPomorski!$A$7:$D$100,4,FALSE),0)</f>
        <v>7165</v>
      </c>
      <c r="D60" s="33">
        <f t="shared" si="3"/>
        <v>7165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IFERROR(VLOOKUP(A61,[4]KujawskoPomorski!$A$7:$D$100,4,FALSE),0)</f>
        <v>368</v>
      </c>
      <c r="D61" s="33">
        <f>C61+2</f>
        <v>370</v>
      </c>
      <c r="E61" s="38">
        <f t="shared" si="0"/>
        <v>2</v>
      </c>
      <c r="F61" s="39">
        <f t="shared" si="1"/>
        <v>1.0054000000000001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26398</v>
      </c>
      <c r="D62" s="87">
        <f>D63+D64+D65+D66</f>
        <v>26398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IFERROR(VLOOKUP(A63,[4]KujawskoPomorski!$A$7:$D$100,4,FALSE),0)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IFERROR(VLOOKUP(A64,[4]KujawskoPomorski!$A$7:$D$100,4,FALSE),0)</f>
        <v>20088</v>
      </c>
      <c r="D64" s="33">
        <f>C64</f>
        <v>20088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IFERROR(VLOOKUP(A65,[4]KujawskoPomorski!$A$7:$D$100,4,FALSE),0)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IFERROR(VLOOKUP(A66,[4]KujawskoPomorski!$A$7:$D$100,4,FALSE),0)</f>
        <v>6310</v>
      </c>
      <c r="D66" s="33">
        <f>C66</f>
        <v>6310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IFERROR(VLOOKUP(A67,[4]KujawskoPomorski!$A$7:$D$100,4,FALSE),0)</f>
        <v>5000</v>
      </c>
      <c r="D67" s="87">
        <f>C67</f>
        <v>5000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4733654</v>
      </c>
      <c r="D6" s="83">
        <f>D7+D8+D9+D14+D15+D16+D17+D18+D19+D20+D21+D22+D23+D24+D28+D29+D31+D32+D33+D34+D35</f>
        <v>4964871</v>
      </c>
      <c r="E6" s="68">
        <f>IF(C6=D6,"-",D6-C6)</f>
        <v>231217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IFERROR(VLOOKUP(A7,[4]Lubelski!$A$7:$D$100,4,FALSE),0)</f>
        <v>622716</v>
      </c>
      <c r="D7" s="13">
        <f>C7+50000</f>
        <v>672716</v>
      </c>
      <c r="E7" s="38">
        <f t="shared" ref="E7:E67" si="0">IF(C7=D7,"-",D7-C7)</f>
        <v>50000</v>
      </c>
      <c r="F7" s="39">
        <f t="shared" ref="F7:F67" si="1">IF(C7=0,"-",D7/C7)</f>
        <v>1.0803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IFERROR(VLOOKUP(A8,[4]Lubelski!$A$7:$D$100,4,FALSE),0)</f>
        <v>229903</v>
      </c>
      <c r="D8" s="13">
        <f>C8+3995</f>
        <v>233898</v>
      </c>
      <c r="E8" s="38">
        <f t="shared" si="0"/>
        <v>3995</v>
      </c>
      <c r="F8" s="39">
        <f t="shared" si="1"/>
        <v>1.0174000000000001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IFERROR(VLOOKUP(A9,[4]Lubelski!$A$7:$D$100,4,FALSE),0)</f>
        <v>2474727</v>
      </c>
      <c r="D9" s="13">
        <f>C9+151108</f>
        <v>2625835</v>
      </c>
      <c r="E9" s="38">
        <f t="shared" si="0"/>
        <v>151108</v>
      </c>
      <c r="F9" s="39">
        <f t="shared" si="1"/>
        <v>1.0610999999999999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IFERROR(VLOOKUP(A10,[4]Lubelski!$A$7:$D$100,4,FALSE),0)</f>
        <v>223034</v>
      </c>
      <c r="D10" s="13">
        <f>C10+54</f>
        <v>223088</v>
      </c>
      <c r="E10" s="38">
        <f t="shared" si="0"/>
        <v>54</v>
      </c>
      <c r="F10" s="39">
        <f t="shared" si="1"/>
        <v>1.0002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IFERROR(VLOOKUP(A11,[4]Lubelski!$A$7:$D$100,4,FALSE),0)</f>
        <v>203226</v>
      </c>
      <c r="D11" s="13">
        <f t="shared" ref="D11:D34" si="2">C11</f>
        <v>203226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IFERROR(VLOOKUP(A12,[4]Lubelski!$A$7:$D$100,4,FALSE),0)</f>
        <v>98450</v>
      </c>
      <c r="D12" s="13">
        <f t="shared" si="2"/>
        <v>98450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IFERROR(VLOOKUP(A13,[4]Lubelski!$A$7:$D$100,4,FALSE),0)</f>
        <v>47469</v>
      </c>
      <c r="D13" s="13">
        <f t="shared" si="2"/>
        <v>47469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IFERROR(VLOOKUP(A14,[4]Lubelski!$A$7:$D$100,4,FALSE),0)</f>
        <v>180486</v>
      </c>
      <c r="D14" s="13">
        <f>C14+5590</f>
        <v>186076</v>
      </c>
      <c r="E14" s="38">
        <f t="shared" si="0"/>
        <v>5590</v>
      </c>
      <c r="F14" s="39">
        <f t="shared" si="1"/>
        <v>1.0309999999999999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IFERROR(VLOOKUP(A15,[4]Lubelski!$A$7:$D$100,4,FALSE),0)</f>
        <v>142602</v>
      </c>
      <c r="D15" s="13">
        <f>C15+441</f>
        <v>143043</v>
      </c>
      <c r="E15" s="38">
        <f t="shared" si="0"/>
        <v>441</v>
      </c>
      <c r="F15" s="39">
        <f t="shared" si="1"/>
        <v>1.0031000000000001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IFERROR(VLOOKUP(A16,[4]Lubelski!$A$7:$D$100,4,FALSE),0)</f>
        <v>92937</v>
      </c>
      <c r="D16" s="13">
        <f>C16+6632</f>
        <v>99569</v>
      </c>
      <c r="E16" s="38">
        <f t="shared" si="0"/>
        <v>6632</v>
      </c>
      <c r="F16" s="39">
        <f t="shared" si="1"/>
        <v>1.0713999999999999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IFERROR(VLOOKUP(A17,[4]Lubelski!$A$7:$D$100,4,FALSE),0)</f>
        <v>32976</v>
      </c>
      <c r="D17" s="13">
        <f>C17+1329</f>
        <v>34305</v>
      </c>
      <c r="E17" s="38">
        <f t="shared" si="0"/>
        <v>1329</v>
      </c>
      <c r="F17" s="39">
        <f t="shared" si="1"/>
        <v>1.0403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IFERROR(VLOOKUP(A18,[4]Lubelski!$A$7:$D$100,4,FALSE),0)</f>
        <v>130580</v>
      </c>
      <c r="D18" s="13">
        <f>C18+513</f>
        <v>131093</v>
      </c>
      <c r="E18" s="38">
        <f t="shared" si="0"/>
        <v>513</v>
      </c>
      <c r="F18" s="39">
        <f t="shared" si="1"/>
        <v>1.0039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IFERROR(VLOOKUP(A19,[4]Lubelski!$A$7:$D$100,4,FALSE),0)</f>
        <v>44320</v>
      </c>
      <c r="D19" s="13">
        <f>C19+638</f>
        <v>44958</v>
      </c>
      <c r="E19" s="38">
        <f t="shared" si="0"/>
        <v>638</v>
      </c>
      <c r="F19" s="39">
        <f t="shared" si="1"/>
        <v>1.0144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IFERROR(VLOOKUP(A20,[4]Lubelski!$A$7:$D$100,4,FALSE),0)</f>
        <v>3623</v>
      </c>
      <c r="D20" s="13">
        <f>C20+59</f>
        <v>3682</v>
      </c>
      <c r="E20" s="38">
        <f t="shared" si="0"/>
        <v>59</v>
      </c>
      <c r="F20" s="39">
        <f t="shared" si="1"/>
        <v>1.0163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IFERROR(VLOOKUP(A21,[4]Lubelski!$A$7:$D$100,4,FALSE),0)</f>
        <v>12087</v>
      </c>
      <c r="D21" s="13">
        <f>C21+112</f>
        <v>12199</v>
      </c>
      <c r="E21" s="38">
        <f t="shared" si="0"/>
        <v>112</v>
      </c>
      <c r="F21" s="39">
        <f t="shared" si="1"/>
        <v>1.0093000000000001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IFERROR(VLOOKUP(A22,[4]Lubelski!$A$7:$D$100,4,FALSE),0)</f>
        <v>137922</v>
      </c>
      <c r="D22" s="13">
        <f>C22+10800</f>
        <v>148722</v>
      </c>
      <c r="E22" s="38">
        <f t="shared" si="0"/>
        <v>10800</v>
      </c>
      <c r="F22" s="39">
        <f t="shared" si="1"/>
        <v>1.0783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IFERROR(VLOOKUP(A23,[4]Lubelski!$A$7:$D$100,4,FALSE),0)</f>
        <v>59126</v>
      </c>
      <c r="D23" s="13">
        <f t="shared" si="2"/>
        <v>59126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IFERROR(VLOOKUP(A24,[4]Lubelski!$A$7:$D$100,4,FALSE),0)</f>
        <v>473388</v>
      </c>
      <c r="D24" s="13">
        <f t="shared" si="2"/>
        <v>473388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IFERROR(VLOOKUP(A25,[4]Lubelski!$A$7:$D$100,4,FALSE),0)</f>
        <v>470888</v>
      </c>
      <c r="D25" s="13">
        <f t="shared" si="2"/>
        <v>470888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IFERROR(VLOOKUP(A26,[4]Lubelski!$A$7:$D$100,4,FALSE),0)</f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IFERROR(VLOOKUP(A27,[4]Lubelski!$A$7:$D$100,4,FALSE),0)</f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IFERROR(VLOOKUP(A28,[4]Lubelski!$A$7:$D$100,4,FALSE),0)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IFERROR(VLOOKUP(A29,[4]Lubelski!$A$7:$D$100,4,FALSE),0)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IFERROR(VLOOKUP(A30,[4]Lubelski!$A$7:$D$100,4,FALSE),0)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IFERROR(VLOOKUP(A31,[4]Lubelski!$A$7:$D$100,4,FALSE),0)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IFERROR(VLOOKUP(A32,[4]Lubelski!$A$7:$D$100,4,FALSE),0)</f>
        <v>81075</v>
      </c>
      <c r="D32" s="13">
        <f t="shared" si="2"/>
        <v>81075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IFERROR(VLOOKUP(A33,[4]Lubelski!$A$7:$D$100,4,FALSE),0)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IFERROR(VLOOKUP(A34,[4]Lubelski!$A$7:$D$100,4,FALSE),0)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IFERROR(VLOOKUP(A35,[4]Lubelski!$A$7:$D$100,4,FALSE),0)</f>
        <v>14186</v>
      </c>
      <c r="D35" s="13">
        <f t="shared" ref="D35" si="3">C35</f>
        <v>14186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IFERROR(VLOOKUP(A36,[4]Lubelski!$A$7:$D$100,4,FALSE),0)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IFERROR(VLOOKUP(A37,[4]Lubelski!$A$7:$D$100,4,FALSE),0)</f>
        <v>131588</v>
      </c>
      <c r="D37" s="37">
        <f>C37</f>
        <v>131588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IFERROR(VLOOKUP(A38,[4]Lubelski!$A$7:$D$100,4,FALSE),0)</f>
        <v>38366</v>
      </c>
      <c r="D38" s="37">
        <f>C38</f>
        <v>38366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IFERROR(VLOOKUP(A39,[4]Lubelski!$A$7:$D$100,4,FALSE),0)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724083</v>
      </c>
      <c r="D40" s="32">
        <f>D11+D13+D24+D30</f>
        <v>724083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27983</v>
      </c>
      <c r="D41" s="71">
        <f>D42+D43+D44+D52+D54+D60+D61+D59</f>
        <v>28445</v>
      </c>
      <c r="E41" s="68">
        <f t="shared" si="0"/>
        <v>462</v>
      </c>
      <c r="F41" s="86">
        <f t="shared" si="1"/>
        <v>1.0165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IFERROR(VLOOKUP(A42,[4]Lubelski!$A$7:$D$100,4,FALSE),0)</f>
        <v>914</v>
      </c>
      <c r="D42" s="33">
        <f>C42+50</f>
        <v>964</v>
      </c>
      <c r="E42" s="38">
        <f t="shared" si="0"/>
        <v>50</v>
      </c>
      <c r="F42" s="39">
        <f t="shared" si="1"/>
        <v>1.0547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IFERROR(VLOOKUP(A43,[4]Lubelski!$A$7:$D$100,4,FALSE),0)</f>
        <v>2933</v>
      </c>
      <c r="D43" s="33">
        <f>C43+31</f>
        <v>2964</v>
      </c>
      <c r="E43" s="38">
        <f t="shared" si="0"/>
        <v>31</v>
      </c>
      <c r="F43" s="39">
        <f t="shared" si="1"/>
        <v>1.0105999999999999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277</v>
      </c>
      <c r="D44" s="33">
        <f>D45+D47+D48+D49+D50+D51</f>
        <v>278</v>
      </c>
      <c r="E44" s="38">
        <f t="shared" si="0"/>
        <v>1</v>
      </c>
      <c r="F44" s="39">
        <f t="shared" si="1"/>
        <v>1.0036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IFERROR(VLOOKUP(A45,[4]Lubelski!$A$7:$D$100,4,FALSE),0)</f>
        <v>33</v>
      </c>
      <c r="D45" s="33">
        <f t="shared" ref="D45:D60" si="4">C45</f>
        <v>33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IFERROR(VLOOKUP(A46,[4]Lubelski!$A$7:$D$100,4,FALSE),0)</f>
        <v>33</v>
      </c>
      <c r="D46" s="33">
        <f t="shared" si="4"/>
        <v>33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IFERROR(VLOOKUP(A47,[4]Lubelski!$A$7:$D$100,4,FALSE),0)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IFERROR(VLOOKUP(A48,[4]Lubelski!$A$7:$D$100,4,FALSE),0)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IFERROR(VLOOKUP(A49,[4]Lubelski!$A$7:$D$100,4,FALSE),0)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IFERROR(VLOOKUP(A50,[4]Lubelski!$A$7:$D$100,4,FALSE),0)</f>
        <v>230</v>
      </c>
      <c r="D50" s="33">
        <f>C50+1</f>
        <v>231</v>
      </c>
      <c r="E50" s="38">
        <f t="shared" si="0"/>
        <v>1</v>
      </c>
      <c r="F50" s="39">
        <f t="shared" si="1"/>
        <v>1.0043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IFERROR(VLOOKUP(A51,[4]Lubelski!$A$7:$D$100,4,FALSE),0)</f>
        <v>14</v>
      </c>
      <c r="D51" s="33">
        <f t="shared" si="4"/>
        <v>14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IFERROR(VLOOKUP(A52,[4]Lubelski!$A$7:$D$100,4,FALSE),0)</f>
        <v>17903</v>
      </c>
      <c r="D52" s="33">
        <f>C52+314</f>
        <v>18217</v>
      </c>
      <c r="E52" s="38">
        <f t="shared" si="0"/>
        <v>314</v>
      </c>
      <c r="F52" s="39">
        <f t="shared" si="1"/>
        <v>1.0175000000000001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IFERROR(VLOOKUP(A53,[4]Lubelski!$A$7:$D$100,4,FALSE),0)</f>
        <v>144</v>
      </c>
      <c r="D53" s="33">
        <f t="shared" si="4"/>
        <v>144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4001</v>
      </c>
      <c r="D54" s="29">
        <f>D55+D56+D57+D58</f>
        <v>4065</v>
      </c>
      <c r="E54" s="38">
        <f t="shared" si="0"/>
        <v>64</v>
      </c>
      <c r="F54" s="39">
        <f t="shared" si="1"/>
        <v>1.016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IFERROR(VLOOKUP(A55,[4]Lubelski!$A$7:$D$100,4,FALSE),0)</f>
        <v>3073</v>
      </c>
      <c r="D55" s="33">
        <f>C55+51</f>
        <v>3124</v>
      </c>
      <c r="E55" s="38">
        <f t="shared" si="0"/>
        <v>51</v>
      </c>
      <c r="F55" s="39">
        <f t="shared" si="1"/>
        <v>1.0165999999999999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IFERROR(VLOOKUP(A56,[4]Lubelski!$A$7:$D$100,4,FALSE),0)</f>
        <v>439</v>
      </c>
      <c r="D56" s="33">
        <f>C56+5</f>
        <v>444</v>
      </c>
      <c r="E56" s="38">
        <f t="shared" si="0"/>
        <v>5</v>
      </c>
      <c r="F56" s="39">
        <f t="shared" si="1"/>
        <v>1.0114000000000001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IFERROR(VLOOKUP(A57,[4]Lubelski!$A$7:$D$100,4,FALSE),0)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IFERROR(VLOOKUP(A58,[4]Lubelski!$A$7:$D$100,4,FALSE),0)</f>
        <v>489</v>
      </c>
      <c r="D58" s="33">
        <f>C58+8</f>
        <v>497</v>
      </c>
      <c r="E58" s="38">
        <f t="shared" si="0"/>
        <v>8</v>
      </c>
      <c r="F58" s="39">
        <f t="shared" si="1"/>
        <v>1.0164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IFERROR(VLOOKUP(A59,[4]Lubelski!$A$7:$D$100,4,FALSE),0)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IFERROR(VLOOKUP(A60,[4]Lubelski!$A$7:$D$100,4,FALSE),0)</f>
        <v>1562</v>
      </c>
      <c r="D60" s="33">
        <f t="shared" si="4"/>
        <v>1562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IFERROR(VLOOKUP(A61,[4]Lubelski!$A$7:$D$100,4,FALSE),0)</f>
        <v>393</v>
      </c>
      <c r="D61" s="33">
        <f>C61+2</f>
        <v>395</v>
      </c>
      <c r="E61" s="38">
        <f t="shared" si="0"/>
        <v>2</v>
      </c>
      <c r="F61" s="39">
        <f t="shared" si="1"/>
        <v>1.0051000000000001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6045</v>
      </c>
      <c r="D62" s="87">
        <f>D63+D64+D65+D66</f>
        <v>6045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IFERROR(VLOOKUP(A63,[4]Lubelski!$A$7:$D$100,4,FALSE),0)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IFERROR(VLOOKUP(A64,[4]Lubelski!$A$7:$D$100,4,FALSE),0)</f>
        <v>5045</v>
      </c>
      <c r="D64" s="33">
        <f>C64</f>
        <v>5045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IFERROR(VLOOKUP(A65,[4]Lubelski!$A$7:$D$100,4,FALSE),0)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IFERROR(VLOOKUP(A66,[4]Lubelski!$A$7:$D$100,4,FALSE),0)</f>
        <v>1000</v>
      </c>
      <c r="D66" s="33">
        <f>C66</f>
        <v>1000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IFERROR(VLOOKUP(A67,[4]Lubelski!$A$7:$D$100,4,FALSE),0)</f>
        <v>1000</v>
      </c>
      <c r="D67" s="87">
        <f>C67</f>
        <v>1000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19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2125802</v>
      </c>
      <c r="D6" s="83">
        <f>D7+D8+D9+D14+D15+D16+D17+D18+D19+D20+D21+D22+D23+D24+D28+D29+D31+D32+D33+D34+D35</f>
        <v>2230975</v>
      </c>
      <c r="E6" s="68">
        <f>IF(C6=D6,"-",D6-C6)</f>
        <v>105173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IFERROR(VLOOKUP(A7,[4]Lubuski!$A$7:$D$100,4,FALSE),0)</f>
        <v>302298</v>
      </c>
      <c r="D7" s="13">
        <f>C7+15000</f>
        <v>317298</v>
      </c>
      <c r="E7" s="38">
        <f t="shared" ref="E7:E67" si="0">IF(C7=D7,"-",D7-C7)</f>
        <v>15000</v>
      </c>
      <c r="F7" s="39">
        <f t="shared" ref="F7:F67" si="1">IF(C7=0,"-",D7/C7)</f>
        <v>1.0496000000000001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IFERROR(VLOOKUP(A8,[4]Lubuski!$A$7:$D$100,4,FALSE),0)</f>
        <v>118252</v>
      </c>
      <c r="D8" s="13">
        <f>C8+7400</f>
        <v>125652</v>
      </c>
      <c r="E8" s="38">
        <f t="shared" si="0"/>
        <v>7400</v>
      </c>
      <c r="F8" s="39">
        <f t="shared" si="1"/>
        <v>1.0626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IFERROR(VLOOKUP(A9,[4]Lubuski!$A$7:$D$100,4,FALSE),0)</f>
        <v>1089704</v>
      </c>
      <c r="D9" s="13">
        <f>C9+49966</f>
        <v>1139670</v>
      </c>
      <c r="E9" s="38">
        <f t="shared" si="0"/>
        <v>49966</v>
      </c>
      <c r="F9" s="39">
        <f t="shared" si="1"/>
        <v>1.0459000000000001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IFERROR(VLOOKUP(A10,[4]Lubuski!$A$7:$D$100,4,FALSE),0)</f>
        <v>87911</v>
      </c>
      <c r="D10" s="13">
        <f>C10+2100</f>
        <v>90011</v>
      </c>
      <c r="E10" s="38">
        <f t="shared" si="0"/>
        <v>2100</v>
      </c>
      <c r="F10" s="39">
        <f t="shared" si="1"/>
        <v>1.0239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IFERROR(VLOOKUP(A11,[4]Lubuski!$A$7:$D$100,4,FALSE),0)</f>
        <v>79836</v>
      </c>
      <c r="D11" s="13">
        <f t="shared" ref="D11:D34" si="2">C11</f>
        <v>79836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IFERROR(VLOOKUP(A12,[4]Lubuski!$A$7:$D$100,4,FALSE),0)</f>
        <v>37392</v>
      </c>
      <c r="D12" s="13">
        <f>C12+1300</f>
        <v>38692</v>
      </c>
      <c r="E12" s="38">
        <f t="shared" si="0"/>
        <v>1300</v>
      </c>
      <c r="F12" s="39">
        <f t="shared" si="1"/>
        <v>1.0347999999999999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IFERROR(VLOOKUP(A13,[4]Lubuski!$A$7:$D$100,4,FALSE),0)</f>
        <v>14624</v>
      </c>
      <c r="D13" s="13">
        <f t="shared" si="2"/>
        <v>14624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IFERROR(VLOOKUP(A14,[4]Lubuski!$A$7:$D$100,4,FALSE),0)</f>
        <v>83881</v>
      </c>
      <c r="D14" s="13">
        <f>C14+9100</f>
        <v>92981</v>
      </c>
      <c r="E14" s="38">
        <f t="shared" si="0"/>
        <v>9100</v>
      </c>
      <c r="F14" s="39">
        <f t="shared" si="1"/>
        <v>1.1085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IFERROR(VLOOKUP(A15,[4]Lubuski!$A$7:$D$100,4,FALSE),0)</f>
        <v>60596</v>
      </c>
      <c r="D15" s="13">
        <f>C15+3300</f>
        <v>63896</v>
      </c>
      <c r="E15" s="38">
        <f t="shared" si="0"/>
        <v>3300</v>
      </c>
      <c r="F15" s="39">
        <f t="shared" si="1"/>
        <v>1.0545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IFERROR(VLOOKUP(A16,[4]Lubuski!$A$7:$D$100,4,FALSE),0)</f>
        <v>34528</v>
      </c>
      <c r="D16" s="13">
        <f>C16+4100</f>
        <v>38628</v>
      </c>
      <c r="E16" s="38">
        <f t="shared" si="0"/>
        <v>4100</v>
      </c>
      <c r="F16" s="39">
        <f t="shared" si="1"/>
        <v>1.1187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IFERROR(VLOOKUP(A17,[4]Lubuski!$A$7:$D$100,4,FALSE),0)</f>
        <v>17876</v>
      </c>
      <c r="D17" s="13">
        <f>C17+1700</f>
        <v>19576</v>
      </c>
      <c r="E17" s="38">
        <f t="shared" si="0"/>
        <v>1700</v>
      </c>
      <c r="F17" s="39">
        <f t="shared" si="1"/>
        <v>1.0951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IFERROR(VLOOKUP(A18,[4]Lubuski!$A$7:$D$100,4,FALSE),0)</f>
        <v>39796</v>
      </c>
      <c r="D18" s="13">
        <f>C18+2100</f>
        <v>41896</v>
      </c>
      <c r="E18" s="38">
        <f t="shared" si="0"/>
        <v>2100</v>
      </c>
      <c r="F18" s="39">
        <f t="shared" si="1"/>
        <v>1.0528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IFERROR(VLOOKUP(A19,[4]Lubuski!$A$7:$D$100,4,FALSE),0)</f>
        <v>14500</v>
      </c>
      <c r="D19" s="13">
        <f t="shared" si="2"/>
        <v>14500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IFERROR(VLOOKUP(A20,[4]Lubuski!$A$7:$D$100,4,FALSE),0)</f>
        <v>1930</v>
      </c>
      <c r="D20" s="13">
        <f>C20+106</f>
        <v>2036</v>
      </c>
      <c r="E20" s="38">
        <f t="shared" si="0"/>
        <v>106</v>
      </c>
      <c r="F20" s="39">
        <f t="shared" si="1"/>
        <v>1.0548999999999999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IFERROR(VLOOKUP(A21,[4]Lubuski!$A$7:$D$100,4,FALSE),0)</f>
        <v>6190</v>
      </c>
      <c r="D21" s="13">
        <f>C21+201</f>
        <v>6391</v>
      </c>
      <c r="E21" s="38">
        <f t="shared" si="0"/>
        <v>201</v>
      </c>
      <c r="F21" s="39">
        <f t="shared" si="1"/>
        <v>1.0325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IFERROR(VLOOKUP(A22,[4]Lubuski!$A$7:$D$100,4,FALSE),0)</f>
        <v>61925</v>
      </c>
      <c r="D22" s="13">
        <f>C22+3500</f>
        <v>65425</v>
      </c>
      <c r="E22" s="38">
        <f t="shared" si="0"/>
        <v>3500</v>
      </c>
      <c r="F22" s="39">
        <f t="shared" si="1"/>
        <v>1.0565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IFERROR(VLOOKUP(A23,[4]Lubuski!$A$7:$D$100,4,FALSE),0)</f>
        <v>35000</v>
      </c>
      <c r="D23" s="13">
        <f t="shared" si="2"/>
        <v>35000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IFERROR(VLOOKUP(A24,[4]Lubuski!$A$7:$D$100,4,FALSE),0)</f>
        <v>223750</v>
      </c>
      <c r="D24" s="13">
        <f>C24+6500-6500</f>
        <v>223750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IFERROR(VLOOKUP(A25,[4]Lubuski!$A$7:$D$100,4,FALSE),0)</f>
        <v>223200</v>
      </c>
      <c r="D25" s="13">
        <f>C25+6500-6500</f>
        <v>223200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IFERROR(VLOOKUP(A26,[4]Lubuski!$A$7:$D$100,4,FALSE),0)</f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IFERROR(VLOOKUP(A27,[4]Lubuski!$A$7:$D$100,4,FALSE),0)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IFERROR(VLOOKUP(A28,[4]Lubuski!$A$7:$D$100,4,FALSE),0)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IFERROR(VLOOKUP(A29,[4]Lubuski!$A$7:$D$100,4,FALSE),0)</f>
        <v>0</v>
      </c>
      <c r="D29" s="13">
        <f>C29+6500</f>
        <v>6500</v>
      </c>
      <c r="E29" s="38">
        <f t="shared" si="0"/>
        <v>6500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IFERROR(VLOOKUP(A30,[4]Lubuski!$A$7:$D$100,4,FALSE),0)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IFERROR(VLOOKUP(A31,[4]Lubuski!$A$7:$D$100,4,FALSE),0)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IFERROR(VLOOKUP(A32,[4]Lubuski!$A$7:$D$100,4,FALSE),0)</f>
        <v>13310</v>
      </c>
      <c r="D32" s="13">
        <f t="shared" si="2"/>
        <v>13310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IFERROR(VLOOKUP(A33,[4]Lubuski!$A$7:$D$100,4,FALSE),0)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IFERROR(VLOOKUP(A34,[4]Lubuski!$A$7:$D$100,4,FALSE),0)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IFERROR(VLOOKUP(A35,[4]Lubuski!$A$7:$D$100,4,FALSE),0)</f>
        <v>21266</v>
      </c>
      <c r="D35" s="13">
        <f>C35+2200</f>
        <v>23466</v>
      </c>
      <c r="E35" s="38">
        <f>IF(C35=D35,"-",D35-C35)</f>
        <v>2200</v>
      </c>
      <c r="F35" s="39">
        <f>IF(C35=0,"-",D35/C35)</f>
        <v>1.1034999999999999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IFERROR(VLOOKUP(A36,[4]Lubuski!$A$7:$D$100,4,FALSE),0)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IFERROR(VLOOKUP(A37,[4]Lubuski!$A$7:$D$100,4,FALSE),0)</f>
        <v>75939</v>
      </c>
      <c r="D37" s="37">
        <f>C37</f>
        <v>75939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IFERROR(VLOOKUP(A38,[4]Lubuski!$A$7:$D$100,4,FALSE),0)</f>
        <v>16696</v>
      </c>
      <c r="D38" s="37">
        <f>C38</f>
        <v>16696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IFERROR(VLOOKUP(A39,[4]Lubuski!$A$7:$D$100,4,FALSE),0)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318210</v>
      </c>
      <c r="D40" s="32">
        <f>D11+D13+D24+D30</f>
        <v>318210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17812</v>
      </c>
      <c r="D41" s="71">
        <f>D42+D43+D44+D52+D54+D60+D61+D59</f>
        <v>18200</v>
      </c>
      <c r="E41" s="68">
        <f t="shared" si="0"/>
        <v>388</v>
      </c>
      <c r="F41" s="86">
        <f t="shared" si="1"/>
        <v>1.0218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IFERROR(VLOOKUP(A42,[4]Lubuski!$A$7:$D$100,4,FALSE),0)</f>
        <v>848</v>
      </c>
      <c r="D42" s="33">
        <f>C42+50</f>
        <v>898</v>
      </c>
      <c r="E42" s="38">
        <f t="shared" si="0"/>
        <v>50</v>
      </c>
      <c r="F42" s="39">
        <f t="shared" si="1"/>
        <v>1.0589999999999999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IFERROR(VLOOKUP(A43,[4]Lubuski!$A$7:$D$100,4,FALSE),0)</f>
        <v>2363</v>
      </c>
      <c r="D43" s="33">
        <f>C43+31</f>
        <v>2394</v>
      </c>
      <c r="E43" s="38">
        <f t="shared" si="0"/>
        <v>31</v>
      </c>
      <c r="F43" s="39">
        <f t="shared" si="1"/>
        <v>1.0130999999999999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82</v>
      </c>
      <c r="D44" s="33">
        <f>D45+D47+D48+D49+D50+D51</f>
        <v>83</v>
      </c>
      <c r="E44" s="38">
        <f t="shared" si="0"/>
        <v>1</v>
      </c>
      <c r="F44" s="39">
        <f t="shared" si="1"/>
        <v>1.0122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IFERROR(VLOOKUP(A45,[4]Lubuski!$A$7:$D$100,4,FALSE),0)</f>
        <v>15</v>
      </c>
      <c r="D45" s="33">
        <f t="shared" ref="D45:D60" si="3">C45</f>
        <v>15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IFERROR(VLOOKUP(A46,[4]Lubuski!$A$7:$D$100,4,FALSE),0)</f>
        <v>15</v>
      </c>
      <c r="D46" s="33">
        <f t="shared" si="3"/>
        <v>15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IFERROR(VLOOKUP(A47,[4]Lubuski!$A$7:$D$100,4,FALSE),0)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IFERROR(VLOOKUP(A48,[4]Lubuski!$A$7:$D$100,4,FALSE),0)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IFERROR(VLOOKUP(A49,[4]Lubuski!$A$7:$D$100,4,FALSE),0)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IFERROR(VLOOKUP(A50,[4]Lubuski!$A$7:$D$100,4,FALSE),0)</f>
        <v>42</v>
      </c>
      <c r="D50" s="33">
        <f>C50+1</f>
        <v>43</v>
      </c>
      <c r="E50" s="38">
        <f t="shared" si="0"/>
        <v>1</v>
      </c>
      <c r="F50" s="39">
        <f t="shared" si="1"/>
        <v>1.0238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IFERROR(VLOOKUP(A51,[4]Lubuski!$A$7:$D$100,4,FALSE),0)</f>
        <v>25</v>
      </c>
      <c r="D51" s="33">
        <f t="shared" si="3"/>
        <v>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IFERROR(VLOOKUP(A52,[4]Lubuski!$A$7:$D$100,4,FALSE),0)</f>
        <v>10474</v>
      </c>
      <c r="D52" s="33">
        <f>C52+252</f>
        <v>10726</v>
      </c>
      <c r="E52" s="38">
        <f t="shared" si="0"/>
        <v>252</v>
      </c>
      <c r="F52" s="39">
        <f t="shared" si="1"/>
        <v>1.0241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IFERROR(VLOOKUP(A53,[4]Lubuski!$A$7:$D$100,4,FALSE),0)</f>
        <v>43</v>
      </c>
      <c r="D53" s="33">
        <f t="shared" si="3"/>
        <v>43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2370</v>
      </c>
      <c r="D54" s="29">
        <f>D55+D56+D57+D58</f>
        <v>2422</v>
      </c>
      <c r="E54" s="38">
        <f t="shared" si="0"/>
        <v>52</v>
      </c>
      <c r="F54" s="39">
        <f t="shared" si="1"/>
        <v>1.0219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IFERROR(VLOOKUP(A55,[4]Lubuski!$A$7:$D$100,4,FALSE),0)</f>
        <v>1796</v>
      </c>
      <c r="D55" s="33">
        <f>C55+41</f>
        <v>1837</v>
      </c>
      <c r="E55" s="38">
        <f t="shared" si="0"/>
        <v>41</v>
      </c>
      <c r="F55" s="39">
        <f t="shared" si="1"/>
        <v>1.0227999999999999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IFERROR(VLOOKUP(A56,[4]Lubuski!$A$7:$D$100,4,FALSE),0)</f>
        <v>257</v>
      </c>
      <c r="D56" s="33">
        <f>C56+4</f>
        <v>261</v>
      </c>
      <c r="E56" s="38">
        <f t="shared" si="0"/>
        <v>4</v>
      </c>
      <c r="F56" s="39">
        <f t="shared" si="1"/>
        <v>1.0156000000000001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IFERROR(VLOOKUP(A57,[4]Lubuski!$A$7:$D$100,4,FALSE),0)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IFERROR(VLOOKUP(A58,[4]Lubuski!$A$7:$D$100,4,FALSE),0)</f>
        <v>317</v>
      </c>
      <c r="D58" s="33">
        <f>C58+7</f>
        <v>324</v>
      </c>
      <c r="E58" s="38">
        <f t="shared" si="0"/>
        <v>7</v>
      </c>
      <c r="F58" s="39">
        <f t="shared" si="1"/>
        <v>1.0221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IFERROR(VLOOKUP(A59,[4]Lubuski!$A$7:$D$100,4,FALSE),0)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IFERROR(VLOOKUP(A60,[4]Lubuski!$A$7:$D$100,4,FALSE),0)</f>
        <v>1493</v>
      </c>
      <c r="D60" s="33">
        <f t="shared" si="3"/>
        <v>1493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IFERROR(VLOOKUP(A61,[4]Lubuski!$A$7:$D$100,4,FALSE),0)</f>
        <v>182</v>
      </c>
      <c r="D61" s="33">
        <f>C61+2</f>
        <v>184</v>
      </c>
      <c r="E61" s="38">
        <f t="shared" si="0"/>
        <v>2</v>
      </c>
      <c r="F61" s="39">
        <f t="shared" si="1"/>
        <v>1.0109999999999999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3290</v>
      </c>
      <c r="D62" s="87">
        <f>D63+D64+D65+D66</f>
        <v>3290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IFERROR(VLOOKUP(A63,[4]Lubuski!$A$7:$D$100,4,FALSE),0)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IFERROR(VLOOKUP(A64,[4]Lubuski!$A$7:$D$100,4,FALSE),0)</f>
        <v>1915</v>
      </c>
      <c r="D64" s="33">
        <f>C64</f>
        <v>1915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IFERROR(VLOOKUP(A65,[4]Lubuski!$A$7:$D$100,4,FALSE),0)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IFERROR(VLOOKUP(A66,[4]Lubuski!$A$7:$D$100,4,FALSE),0)</f>
        <v>1375</v>
      </c>
      <c r="D66" s="33">
        <f>C66</f>
        <v>1375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IFERROR(VLOOKUP(A67,[4]Lubuski!$A$7:$D$100,4,FALSE),0)</f>
        <v>750</v>
      </c>
      <c r="D67" s="87">
        <f>C67</f>
        <v>750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</sheetPr>
  <dimension ref="A1:F67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5718352</v>
      </c>
      <c r="D6" s="83">
        <f>D7+D8+D9+D14+D15+D16+D17+D18+D19+D20+D21+D22+D23+D24+D28+D29+D31+D32+D33+D34+D35</f>
        <v>6000600</v>
      </c>
      <c r="E6" s="68">
        <f>IF(C6=D6,"-",D6-C6)</f>
        <v>282248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IFERROR(VLOOKUP(A7,[4]Łódzki!$A$7:$D$100,4,FALSE),0)</f>
        <v>758490</v>
      </c>
      <c r="D7" s="13">
        <f>C7+53000</f>
        <v>811490</v>
      </c>
      <c r="E7" s="38">
        <f t="shared" ref="E7:E67" si="0">IF(C7=D7,"-",D7-C7)</f>
        <v>53000</v>
      </c>
      <c r="F7" s="39">
        <f t="shared" ref="F7:F67" si="1">IF(C7=0,"-",D7/C7)</f>
        <v>1.0699000000000001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IFERROR(VLOOKUP(A8,[4]Łódzki!$A$7:$D$100,4,FALSE),0)</f>
        <v>294727</v>
      </c>
      <c r="D8" s="13">
        <f>C8+16448</f>
        <v>311175</v>
      </c>
      <c r="E8" s="38">
        <f t="shared" si="0"/>
        <v>16448</v>
      </c>
      <c r="F8" s="39">
        <f t="shared" si="1"/>
        <v>1.0558000000000001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IFERROR(VLOOKUP(A9,[4]Łódzki!$A$7:$D$100,4,FALSE),0)</f>
        <v>3099923</v>
      </c>
      <c r="D9" s="13">
        <f>C9+169300</f>
        <v>3269223</v>
      </c>
      <c r="E9" s="38">
        <f t="shared" si="0"/>
        <v>169300</v>
      </c>
      <c r="F9" s="39">
        <f t="shared" si="1"/>
        <v>1.0546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IFERROR(VLOOKUP(A10,[4]Łódzki!$A$7:$D$100,4,FALSE),0)</f>
        <v>308027</v>
      </c>
      <c r="D10" s="13">
        <f>C10+500</f>
        <v>308527</v>
      </c>
      <c r="E10" s="38">
        <f t="shared" si="0"/>
        <v>500</v>
      </c>
      <c r="F10" s="39">
        <f t="shared" si="1"/>
        <v>1.0016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IFERROR(VLOOKUP(A11,[4]Łódzki!$A$7:$D$100,4,FALSE),0)</f>
        <v>272738</v>
      </c>
      <c r="D11" s="13">
        <f t="shared" ref="D11:D34" si="2">C11</f>
        <v>272738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IFERROR(VLOOKUP(A12,[4]Łódzki!$A$7:$D$100,4,FALSE),0)</f>
        <v>101405</v>
      </c>
      <c r="D12" s="13">
        <f>C12+1000</f>
        <v>102405</v>
      </c>
      <c r="E12" s="38">
        <f t="shared" si="0"/>
        <v>1000</v>
      </c>
      <c r="F12" s="39">
        <f t="shared" si="1"/>
        <v>1.0099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IFERROR(VLOOKUP(A13,[4]Łódzki!$A$7:$D$100,4,FALSE),0)</f>
        <v>41195</v>
      </c>
      <c r="D13" s="13">
        <f t="shared" si="2"/>
        <v>41195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IFERROR(VLOOKUP(A14,[4]Łódzki!$A$7:$D$100,4,FALSE),0)</f>
        <v>157196</v>
      </c>
      <c r="D14" s="13">
        <f>C14+8150</f>
        <v>165346</v>
      </c>
      <c r="E14" s="38">
        <f t="shared" si="0"/>
        <v>8150</v>
      </c>
      <c r="F14" s="39">
        <f t="shared" si="1"/>
        <v>1.0518000000000001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IFERROR(VLOOKUP(A15,[4]Łódzki!$A$7:$D$100,4,FALSE),0)</f>
        <v>146212</v>
      </c>
      <c r="D15" s="13">
        <f>C15+13500</f>
        <v>159712</v>
      </c>
      <c r="E15" s="38">
        <f t="shared" si="0"/>
        <v>13500</v>
      </c>
      <c r="F15" s="39">
        <f t="shared" si="1"/>
        <v>1.0923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IFERROR(VLOOKUP(A16,[4]Łódzki!$A$7:$D$100,4,FALSE),0)</f>
        <v>86394</v>
      </c>
      <c r="D16" s="13">
        <f>C16+2350</f>
        <v>88744</v>
      </c>
      <c r="E16" s="38">
        <f t="shared" si="0"/>
        <v>2350</v>
      </c>
      <c r="F16" s="39">
        <f t="shared" si="1"/>
        <v>1.0271999999999999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IFERROR(VLOOKUP(A17,[4]Łódzki!$A$7:$D$100,4,FALSE),0)</f>
        <v>40174</v>
      </c>
      <c r="D17" s="13">
        <f>C17+7500</f>
        <v>47674</v>
      </c>
      <c r="E17" s="38">
        <f t="shared" si="0"/>
        <v>7500</v>
      </c>
      <c r="F17" s="39">
        <f t="shared" si="1"/>
        <v>1.1867000000000001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IFERROR(VLOOKUP(A18,[4]Łódzki!$A$7:$D$100,4,FALSE),0)</f>
        <v>124157</v>
      </c>
      <c r="D18" s="13">
        <f>C18+1820</f>
        <v>125977</v>
      </c>
      <c r="E18" s="38">
        <f t="shared" si="0"/>
        <v>1820</v>
      </c>
      <c r="F18" s="39">
        <f t="shared" si="1"/>
        <v>1.0146999999999999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IFERROR(VLOOKUP(A19,[4]Łódzki!$A$7:$D$100,4,FALSE),0)</f>
        <v>45000</v>
      </c>
      <c r="D19" s="13">
        <f>C19+680</f>
        <v>45680</v>
      </c>
      <c r="E19" s="38">
        <f t="shared" si="0"/>
        <v>680</v>
      </c>
      <c r="F19" s="39">
        <f t="shared" si="1"/>
        <v>1.0150999999999999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IFERROR(VLOOKUP(A20,[4]Łódzki!$A$7:$D$100,4,FALSE),0)</f>
        <v>2506</v>
      </c>
      <c r="D20" s="13">
        <f>C20+100</f>
        <v>2606</v>
      </c>
      <c r="E20" s="38">
        <f t="shared" si="0"/>
        <v>100</v>
      </c>
      <c r="F20" s="39">
        <f t="shared" si="1"/>
        <v>1.0399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IFERROR(VLOOKUP(A21,[4]Łódzki!$A$7:$D$100,4,FALSE),0)</f>
        <v>12900</v>
      </c>
      <c r="D21" s="13">
        <f>C21+400</f>
        <v>13300</v>
      </c>
      <c r="E21" s="38">
        <f t="shared" si="0"/>
        <v>400</v>
      </c>
      <c r="F21" s="39">
        <f t="shared" si="1"/>
        <v>1.0309999999999999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IFERROR(VLOOKUP(A22,[4]Łódzki!$A$7:$D$100,4,FALSE),0)</f>
        <v>149401</v>
      </c>
      <c r="D22" s="13">
        <f>C22+5000</f>
        <v>154401</v>
      </c>
      <c r="E22" s="38">
        <f t="shared" si="0"/>
        <v>5000</v>
      </c>
      <c r="F22" s="39">
        <f t="shared" si="1"/>
        <v>1.0335000000000001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IFERROR(VLOOKUP(A23,[4]Łódzki!$A$7:$D$100,4,FALSE),0)</f>
        <v>74280</v>
      </c>
      <c r="D23" s="13">
        <f>C23</f>
        <v>74280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IFERROR(VLOOKUP(A24,[4]Łódzki!$A$7:$D$100,4,FALSE),0)</f>
        <v>655470</v>
      </c>
      <c r="D24" s="13">
        <f>C24+4000-4000</f>
        <v>655470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IFERROR(VLOOKUP(A25,[4]Łódzki!$A$7:$D$100,4,FALSE),0)</f>
        <v>653491</v>
      </c>
      <c r="D25" s="13">
        <f>C25+4000-4000</f>
        <v>653491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IFERROR(VLOOKUP(A26,[4]Łódzki!$A$7:$D$100,4,FALSE),0)</f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IFERROR(VLOOKUP(A27,[4]Łódzki!$A$7:$D$100,4,FALSE),0)</f>
        <v>1090</v>
      </c>
      <c r="D27" s="13">
        <f t="shared" si="2"/>
        <v>1090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IFERROR(VLOOKUP(A28,[4]Łódzki!$A$7:$D$100,4,FALSE),0)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IFERROR(VLOOKUP(A29,[4]Łódzki!$A$7:$D$100,4,FALSE),0)</f>
        <v>0</v>
      </c>
      <c r="D29" s="13">
        <f>C29+4000</f>
        <v>4000</v>
      </c>
      <c r="E29" s="38">
        <f t="shared" si="0"/>
        <v>4000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IFERROR(VLOOKUP(A30,[4]Łódzki!$A$7:$D$100,4,FALSE),0)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IFERROR(VLOOKUP(A31,[4]Łódzki!$A$7:$D$100,4,FALSE),0)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IFERROR(VLOOKUP(A32,[4]Łódzki!$A$7:$D$100,4,FALSE),0)</f>
        <v>9757</v>
      </c>
      <c r="D32" s="13">
        <f t="shared" si="2"/>
        <v>9757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IFERROR(VLOOKUP(A33,[4]Łódzki!$A$7:$D$100,4,FALSE),0)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IFERROR(VLOOKUP(A34,[4]Łódzki!$A$7:$D$100,4,FALSE),0)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IFERROR(VLOOKUP(A35,[4]Łódzki!$A$7:$D$100,4,FALSE),0)</f>
        <v>61765</v>
      </c>
      <c r="D35" s="13">
        <f t="shared" ref="D35" si="3">C35</f>
        <v>61765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IFERROR(VLOOKUP(A36,[4]Łódzki!$A$7:$D$100,4,FALSE),0)</f>
        <v>589</v>
      </c>
      <c r="D36" s="37">
        <f>C36</f>
        <v>589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IFERROR(VLOOKUP(A37,[4]Łódzki!$A$7:$D$100,4,FALSE),0)</f>
        <v>143026</v>
      </c>
      <c r="D37" s="37">
        <f>C37</f>
        <v>143026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IFERROR(VLOOKUP(A38,[4]Łódzki!$A$7:$D$100,4,FALSE),0)</f>
        <v>54157</v>
      </c>
      <c r="D38" s="37">
        <f>C38</f>
        <v>54157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IFERROR(VLOOKUP(A39,[4]Łódzki!$A$7:$D$100,4,FALSE),0)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969403</v>
      </c>
      <c r="D40" s="32">
        <f>D11+D13+D24+D30</f>
        <v>969403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35828</v>
      </c>
      <c r="D41" s="71">
        <f>D42+D43+D44+D52+D54+D60+D61+D59</f>
        <v>36325</v>
      </c>
      <c r="E41" s="68">
        <f t="shared" si="0"/>
        <v>497</v>
      </c>
      <c r="F41" s="86">
        <f t="shared" si="1"/>
        <v>1.0139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IFERROR(VLOOKUP(A42,[4]Łódzki!$A$7:$D$100,4,FALSE),0)</f>
        <v>1308</v>
      </c>
      <c r="D42" s="33">
        <f>C42+50</f>
        <v>1358</v>
      </c>
      <c r="E42" s="38">
        <f t="shared" si="0"/>
        <v>50</v>
      </c>
      <c r="F42" s="39">
        <f t="shared" si="1"/>
        <v>1.0382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IFERROR(VLOOKUP(A43,[4]Łódzki!$A$7:$D$100,4,FALSE),0)</f>
        <v>5911</v>
      </c>
      <c r="D43" s="33">
        <f>C43+31</f>
        <v>5942</v>
      </c>
      <c r="E43" s="38">
        <f t="shared" si="0"/>
        <v>31</v>
      </c>
      <c r="F43" s="39">
        <f t="shared" si="1"/>
        <v>1.0052000000000001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279</v>
      </c>
      <c r="D44" s="33">
        <f>D45+D47+D48+D49+D50+D51</f>
        <v>280</v>
      </c>
      <c r="E44" s="38">
        <f t="shared" si="0"/>
        <v>1</v>
      </c>
      <c r="F44" s="39">
        <f t="shared" si="1"/>
        <v>1.0036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IFERROR(VLOOKUP(A45,[4]Łódzki!$A$7:$D$100,4,FALSE),0)</f>
        <v>11</v>
      </c>
      <c r="D45" s="33">
        <f t="shared" ref="D45:D60" si="4">C45</f>
        <v>11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IFERROR(VLOOKUP(A46,[4]Łódzki!$A$7:$D$100,4,FALSE),0)</f>
        <v>11</v>
      </c>
      <c r="D46" s="33">
        <f t="shared" si="4"/>
        <v>11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IFERROR(VLOOKUP(A47,[4]Łódzki!$A$7:$D$100,4,FALSE),0)</f>
        <v>10</v>
      </c>
      <c r="D47" s="33">
        <f t="shared" si="4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IFERROR(VLOOKUP(A48,[4]Łódzki!$A$7:$D$100,4,FALSE),0)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IFERROR(VLOOKUP(A49,[4]Łódzki!$A$7:$D$100,4,FALSE),0)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IFERROR(VLOOKUP(A50,[4]Łódzki!$A$7:$D$100,4,FALSE),0)</f>
        <v>254</v>
      </c>
      <c r="D50" s="33">
        <f>C50+1</f>
        <v>255</v>
      </c>
      <c r="E50" s="38">
        <f t="shared" si="0"/>
        <v>1</v>
      </c>
      <c r="F50" s="39">
        <f t="shared" si="1"/>
        <v>1.0039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IFERROR(VLOOKUP(A51,[4]Łódzki!$A$7:$D$100,4,FALSE),0)</f>
        <v>4</v>
      </c>
      <c r="D51" s="33">
        <f t="shared" si="4"/>
        <v>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IFERROR(VLOOKUP(A52,[4]Łódzki!$A$7:$D$100,4,FALSE),0)</f>
        <v>20775</v>
      </c>
      <c r="D52" s="33">
        <f>C52+343</f>
        <v>21118</v>
      </c>
      <c r="E52" s="38">
        <f t="shared" si="0"/>
        <v>343</v>
      </c>
      <c r="F52" s="39">
        <f t="shared" si="1"/>
        <v>1.0165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IFERROR(VLOOKUP(A53,[4]Łódzki!$A$7:$D$100,4,FALSE),0)</f>
        <v>90</v>
      </c>
      <c r="D53" s="33">
        <f t="shared" si="4"/>
        <v>90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4645</v>
      </c>
      <c r="D54" s="29">
        <f>D55+D56+D57+D58</f>
        <v>4715</v>
      </c>
      <c r="E54" s="38">
        <f t="shared" si="0"/>
        <v>70</v>
      </c>
      <c r="F54" s="39">
        <f t="shared" si="1"/>
        <v>1.0150999999999999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IFERROR(VLOOKUP(A55,[4]Łódzki!$A$7:$D$100,4,FALSE),0)</f>
        <v>3567</v>
      </c>
      <c r="D55" s="33">
        <f>C55+55</f>
        <v>3622</v>
      </c>
      <c r="E55" s="38">
        <f t="shared" si="0"/>
        <v>55</v>
      </c>
      <c r="F55" s="39">
        <f t="shared" si="1"/>
        <v>1.0154000000000001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IFERROR(VLOOKUP(A56,[4]Łódzki!$A$7:$D$100,4,FALSE),0)</f>
        <v>509</v>
      </c>
      <c r="D56" s="33">
        <f>C56+6</f>
        <v>515</v>
      </c>
      <c r="E56" s="38">
        <f t="shared" si="0"/>
        <v>6</v>
      </c>
      <c r="F56" s="39">
        <f t="shared" si="1"/>
        <v>1.0118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IFERROR(VLOOKUP(A57,[4]Łódzki!$A$7:$D$100,4,FALSE),0)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IFERROR(VLOOKUP(A58,[4]Łódzki!$A$7:$D$100,4,FALSE),0)</f>
        <v>569</v>
      </c>
      <c r="D58" s="33">
        <f>C58+9</f>
        <v>578</v>
      </c>
      <c r="E58" s="38">
        <f t="shared" si="0"/>
        <v>9</v>
      </c>
      <c r="F58" s="39">
        <f t="shared" si="1"/>
        <v>1.0158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IFERROR(VLOOKUP(A59,[4]Łódzki!$A$7:$D$100,4,FALSE),0)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IFERROR(VLOOKUP(A60,[4]Łódzki!$A$7:$D$100,4,FALSE),0)</f>
        <v>2620</v>
      </c>
      <c r="D60" s="33">
        <f t="shared" si="4"/>
        <v>2620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IFERROR(VLOOKUP(A61,[4]Łódzki!$A$7:$D$100,4,FALSE),0)</f>
        <v>290</v>
      </c>
      <c r="D61" s="33">
        <f>C61+2</f>
        <v>292</v>
      </c>
      <c r="E61" s="38">
        <f t="shared" si="0"/>
        <v>2</v>
      </c>
      <c r="F61" s="39">
        <f t="shared" si="1"/>
        <v>1.0068999999999999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32125</v>
      </c>
      <c r="D62" s="87">
        <f>D63+D64+D65+D66</f>
        <v>32125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IFERROR(VLOOKUP(A63,[4]Łódzki!$A$7:$D$100,4,FALSE),0)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IFERROR(VLOOKUP(A64,[4]Łódzki!$A$7:$D$100,4,FALSE),0)</f>
        <v>30125</v>
      </c>
      <c r="D64" s="33">
        <f>C64</f>
        <v>30125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IFERROR(VLOOKUP(A65,[4]Łódzki!$A$7:$D$100,4,FALSE),0)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IFERROR(VLOOKUP(A66,[4]Łódzki!$A$7:$D$100,4,FALSE),0)</f>
        <v>2000</v>
      </c>
      <c r="D66" s="33">
        <f>C66</f>
        <v>2000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IFERROR(VLOOKUP(A67,[4]Łódzki!$A$7:$D$100,4,FALSE),0)</f>
        <v>5000</v>
      </c>
      <c r="D67" s="87">
        <f>C67</f>
        <v>5000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00B050"/>
  </sheetPr>
  <dimension ref="A1:F67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5" width="25.710937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7" t="s">
        <v>204</v>
      </c>
      <c r="B1" s="117"/>
      <c r="C1" s="117"/>
      <c r="D1" s="117"/>
      <c r="E1" s="117"/>
      <c r="F1" s="117"/>
    </row>
    <row r="2" spans="1:6" s="22" customFormat="1" ht="33" customHeight="1" x14ac:dyDescent="0.2">
      <c r="A2" s="54" t="s">
        <v>64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198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194</v>
      </c>
      <c r="C6" s="83">
        <f>C7+C8+C9+C14+C15+C16+C17+C18+C19+C20+C21+C22+C23+C24+C28+C29+C31+C32+C33+C34+C35</f>
        <v>7412147</v>
      </c>
      <c r="D6" s="83">
        <f>D7+D8+D9+D14+D15+D16+D17+D18+D19+D20+D21+D22+D23+D24+D28+D29+D31+D32+D33+D34+D35</f>
        <v>7774000</v>
      </c>
      <c r="E6" s="68">
        <f>IF(C6=D6,"-",D6-C6)</f>
        <v>361853</v>
      </c>
      <c r="F6" s="84">
        <f>IF(C6=0,"-",D6/C6)</f>
        <v>1.0489999999999999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IFERROR(VLOOKUP(A7,[4]Małopolski!$A$7:$D$100,4,FALSE),0)</f>
        <v>1013060</v>
      </c>
      <c r="D7" s="13">
        <f>C7+91200</f>
        <v>1104260</v>
      </c>
      <c r="E7" s="38">
        <f t="shared" ref="E7:E67" si="0">IF(C7=D7,"-",D7-C7)</f>
        <v>91200</v>
      </c>
      <c r="F7" s="39">
        <f t="shared" ref="F7:F67" si="1">IF(C7=0,"-",D7/C7)</f>
        <v>1.0900000000000001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IFERROR(VLOOKUP(A8,[4]Małopolski!$A$7:$D$100,4,FALSE),0)</f>
        <v>413483</v>
      </c>
      <c r="D8" s="13">
        <f>C8+13000</f>
        <v>426483</v>
      </c>
      <c r="E8" s="38">
        <f t="shared" si="0"/>
        <v>13000</v>
      </c>
      <c r="F8" s="39">
        <f t="shared" si="1"/>
        <v>1.0314000000000001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IFERROR(VLOOKUP(A9,[4]Małopolski!$A$7:$D$100,4,FALSE),0)</f>
        <v>3741982</v>
      </c>
      <c r="D9" s="13">
        <f>C9+156503-6000-6000</f>
        <v>3886485</v>
      </c>
      <c r="E9" s="38">
        <f t="shared" si="0"/>
        <v>144503</v>
      </c>
      <c r="F9" s="39">
        <f t="shared" si="1"/>
        <v>1.0386</v>
      </c>
    </row>
    <row r="10" spans="1:6" ht="31.5" customHeight="1" x14ac:dyDescent="0.2">
      <c r="A10" s="93" t="s">
        <v>54</v>
      </c>
      <c r="B10" s="45" t="s">
        <v>195</v>
      </c>
      <c r="C10" s="31">
        <f>IFERROR(VLOOKUP(A10,[4]Małopolski!$A$7:$D$100,4,FALSE),0)</f>
        <v>367783</v>
      </c>
      <c r="D10" s="13">
        <f>C10+8000-6000</f>
        <v>369783</v>
      </c>
      <c r="E10" s="38">
        <f t="shared" si="0"/>
        <v>2000</v>
      </c>
      <c r="F10" s="39">
        <f t="shared" si="1"/>
        <v>1.0054000000000001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IFERROR(VLOOKUP(A11,[4]Małopolski!$A$7:$D$100,4,FALSE),0)</f>
        <v>331912</v>
      </c>
      <c r="D11" s="13">
        <f>C11+6000-6000</f>
        <v>331912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IFERROR(VLOOKUP(A12,[4]Małopolski!$A$7:$D$100,4,FALSE),0)</f>
        <v>102131</v>
      </c>
      <c r="D12" s="13">
        <f>C12+6500-6000</f>
        <v>102631</v>
      </c>
      <c r="E12" s="38">
        <f t="shared" si="0"/>
        <v>500</v>
      </c>
      <c r="F12" s="39">
        <f t="shared" si="1"/>
        <v>1.0048999999999999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IFERROR(VLOOKUP(A13,[4]Małopolski!$A$7:$D$100,4,FALSE),0)</f>
        <v>51076</v>
      </c>
      <c r="D13" s="13">
        <f>C13+6000-6000</f>
        <v>51076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IFERROR(VLOOKUP(A14,[4]Małopolski!$A$7:$D$100,4,FALSE),0)</f>
        <v>230990</v>
      </c>
      <c r="D14" s="13">
        <f t="shared" ref="D14:D34" si="2">C14</f>
        <v>230990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IFERROR(VLOOKUP(A15,[4]Małopolski!$A$7:$D$100,4,FALSE),0)</f>
        <v>253216</v>
      </c>
      <c r="D15" s="13">
        <f>C15+20500</f>
        <v>273716</v>
      </c>
      <c r="E15" s="38">
        <f t="shared" si="0"/>
        <v>20500</v>
      </c>
      <c r="F15" s="39">
        <f t="shared" si="1"/>
        <v>1.081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IFERROR(VLOOKUP(A16,[4]Małopolski!$A$7:$D$100,4,FALSE),0)</f>
        <v>196100</v>
      </c>
      <c r="D16" s="13">
        <f>C16+20500</f>
        <v>216600</v>
      </c>
      <c r="E16" s="38">
        <f t="shared" si="0"/>
        <v>20500</v>
      </c>
      <c r="F16" s="39">
        <f t="shared" si="1"/>
        <v>1.1045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IFERROR(VLOOKUP(A17,[4]Małopolski!$A$7:$D$100,4,FALSE),0)</f>
        <v>74729</v>
      </c>
      <c r="D17" s="13">
        <f>C17+2000</f>
        <v>76729</v>
      </c>
      <c r="E17" s="38">
        <f t="shared" si="0"/>
        <v>2000</v>
      </c>
      <c r="F17" s="39">
        <f t="shared" si="1"/>
        <v>1.0267999999999999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IFERROR(VLOOKUP(A18,[4]Małopolski!$A$7:$D$100,4,FALSE),0)</f>
        <v>207123</v>
      </c>
      <c r="D18" s="13">
        <f>C18+3000</f>
        <v>210123</v>
      </c>
      <c r="E18" s="38">
        <f t="shared" si="0"/>
        <v>3000</v>
      </c>
      <c r="F18" s="39">
        <f t="shared" si="1"/>
        <v>1.0145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IFERROR(VLOOKUP(A19,[4]Małopolski!$A$7:$D$100,4,FALSE),0)</f>
        <v>56932</v>
      </c>
      <c r="D19" s="13">
        <f>C19+2000</f>
        <v>58932</v>
      </c>
      <c r="E19" s="38">
        <f t="shared" si="0"/>
        <v>2000</v>
      </c>
      <c r="F19" s="39">
        <f t="shared" si="1"/>
        <v>1.0350999999999999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IFERROR(VLOOKUP(A20,[4]Małopolski!$A$7:$D$100,4,FALSE),0)</f>
        <v>1892</v>
      </c>
      <c r="D20" s="13">
        <f t="shared" si="2"/>
        <v>1892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IFERROR(VLOOKUP(A21,[4]Małopolski!$A$7:$D$100,4,FALSE),0)</f>
        <v>15147</v>
      </c>
      <c r="D21" s="13">
        <f t="shared" si="2"/>
        <v>15147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IFERROR(VLOOKUP(A22,[4]Małopolski!$A$7:$D$100,4,FALSE),0)</f>
        <v>229967</v>
      </c>
      <c r="D22" s="13">
        <f>C22+33000</f>
        <v>262967</v>
      </c>
      <c r="E22" s="38">
        <f t="shared" si="0"/>
        <v>33000</v>
      </c>
      <c r="F22" s="39">
        <f t="shared" si="1"/>
        <v>1.1435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IFERROR(VLOOKUP(A23,[4]Małopolski!$A$7:$D$100,4,FALSE),0)</f>
        <v>92000</v>
      </c>
      <c r="D23" s="13">
        <f>C23+4000</f>
        <v>96000</v>
      </c>
      <c r="E23" s="38">
        <f t="shared" si="0"/>
        <v>4000</v>
      </c>
      <c r="F23" s="39">
        <f t="shared" si="1"/>
        <v>1.0435000000000001</v>
      </c>
    </row>
    <row r="24" spans="1:6" ht="33" customHeight="1" x14ac:dyDescent="0.2">
      <c r="A24" s="94" t="s">
        <v>14</v>
      </c>
      <c r="B24" s="30" t="s">
        <v>176</v>
      </c>
      <c r="C24" s="31">
        <f>IFERROR(VLOOKUP(A24,[4]Małopolski!$A$7:$D$100,4,FALSE),0)</f>
        <v>746050</v>
      </c>
      <c r="D24" s="13">
        <f t="shared" si="2"/>
        <v>746050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IFERROR(VLOOKUP(A25,[4]Małopolski!$A$7:$D$100,4,FALSE),0)</f>
        <v>742050</v>
      </c>
      <c r="D25" s="13">
        <f t="shared" si="2"/>
        <v>742050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IFERROR(VLOOKUP(A26,[4]Małopolski!$A$7:$D$100,4,FALSE),0)</f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IFERROR(VLOOKUP(A27,[4]Małopolski!$A$7:$D$100,4,FALSE),0)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IFERROR(VLOOKUP(A28,[4]Małopolski!$A$7:$D$100,4,FALSE),0)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IFERROR(VLOOKUP(A29,[4]Małopolski!$A$7:$D$100,4,FALSE),0)</f>
        <v>0</v>
      </c>
      <c r="D29" s="13">
        <f>C29+6000+6000</f>
        <v>12000</v>
      </c>
      <c r="E29" s="38">
        <f t="shared" si="0"/>
        <v>12000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IFERROR(VLOOKUP(A30,[4]Małopolski!$A$7:$D$100,4,FALSE),0)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IFERROR(VLOOKUP(A31,[4]Małopolski!$A$7:$D$100,4,FALSE),0)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IFERROR(VLOOKUP(A32,[4]Małopolski!$A$7:$D$100,4,FALSE),0)</f>
        <v>98022</v>
      </c>
      <c r="D32" s="13">
        <f t="shared" si="2"/>
        <v>98022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177</v>
      </c>
      <c r="B33" s="16" t="s">
        <v>178</v>
      </c>
      <c r="C33" s="31">
        <f>IFERROR(VLOOKUP(A33,[4]Małopolski!$A$7:$D$100,4,FALSE),0)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184</v>
      </c>
      <c r="B34" s="16" t="s">
        <v>185</v>
      </c>
      <c r="C34" s="31">
        <f>IFERROR(VLOOKUP(A34,[4]Małopolski!$A$7:$D$100,4,FALSE),0)</f>
        <v>700</v>
      </c>
      <c r="D34" s="13">
        <f t="shared" si="2"/>
        <v>700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192</v>
      </c>
      <c r="B35" s="16" t="s">
        <v>193</v>
      </c>
      <c r="C35" s="31">
        <f>IFERROR(VLOOKUP(A35,[4]Małopolski!$A$7:$D$100,4,FALSE),0)</f>
        <v>40754</v>
      </c>
      <c r="D35" s="13">
        <f>C35+16150</f>
        <v>56904</v>
      </c>
      <c r="E35" s="38">
        <f>IF(C35=D35,"-",D35-C35)</f>
        <v>16150</v>
      </c>
      <c r="F35" s="39">
        <f>IF(C35=0,"-",D35/C35)</f>
        <v>1.3963000000000001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IFERROR(VLOOKUP(A36,[4]Małopolski!$A$7:$D$100,4,FALSE),0)</f>
        <v>304</v>
      </c>
      <c r="D36" s="37">
        <f>C36</f>
        <v>304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IFERROR(VLOOKUP(A37,[4]Małopolski!$A$7:$D$100,4,FALSE),0)</f>
        <v>170115</v>
      </c>
      <c r="D37" s="37">
        <f>C37</f>
        <v>170115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186</v>
      </c>
      <c r="B38" s="17" t="s">
        <v>187</v>
      </c>
      <c r="C38" s="32">
        <f>IFERROR(VLOOKUP(A38,[4]Małopolski!$A$7:$D$100,4,FALSE),0)</f>
        <v>66684</v>
      </c>
      <c r="D38" s="37">
        <f>C38</f>
        <v>66684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199</v>
      </c>
      <c r="B39" s="17" t="s">
        <v>200</v>
      </c>
      <c r="C39" s="32">
        <f>IFERROR(VLOOKUP(A39,[4]Małopolski!$A$7:$D$100,4,FALSE),0)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1129038</v>
      </c>
      <c r="D40" s="32">
        <f>D11+D13+D24+D30</f>
        <v>1129038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182</v>
      </c>
      <c r="C41" s="71">
        <f>C42+C43+C44+C52+C54+C60+C61+C59</f>
        <v>43950</v>
      </c>
      <c r="D41" s="71">
        <f>D42+D43+D44+D52+D54+D60+D61+D59</f>
        <v>44505</v>
      </c>
      <c r="E41" s="68">
        <f t="shared" si="0"/>
        <v>555</v>
      </c>
      <c r="F41" s="86">
        <f t="shared" si="1"/>
        <v>1.0125999999999999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IFERROR(VLOOKUP(A42,[4]Małopolski!$A$7:$D$100,4,FALSE),0)</f>
        <v>1910</v>
      </c>
      <c r="D42" s="33">
        <f>C42+50</f>
        <v>1960</v>
      </c>
      <c r="E42" s="38">
        <f t="shared" si="0"/>
        <v>50</v>
      </c>
      <c r="F42" s="39">
        <f t="shared" si="1"/>
        <v>1.0262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IFERROR(VLOOKUP(A43,[4]Małopolski!$A$7:$D$100,4,FALSE),0)</f>
        <v>6098</v>
      </c>
      <c r="D43" s="33">
        <f>C43+31</f>
        <v>6129</v>
      </c>
      <c r="E43" s="38">
        <f t="shared" si="0"/>
        <v>31</v>
      </c>
      <c r="F43" s="39">
        <f t="shared" si="1"/>
        <v>1.0051000000000001</v>
      </c>
    </row>
    <row r="44" spans="1:6" ht="28.5" customHeight="1" x14ac:dyDescent="0.2">
      <c r="A44" s="95" t="s">
        <v>20</v>
      </c>
      <c r="B44" s="19" t="s">
        <v>183</v>
      </c>
      <c r="C44" s="33">
        <f>C45+C47+C48+C49+C50+C51</f>
        <v>247</v>
      </c>
      <c r="D44" s="33">
        <f>D45+D47+D48+D49+D50+D51</f>
        <v>248</v>
      </c>
      <c r="E44" s="38">
        <f t="shared" si="0"/>
        <v>1</v>
      </c>
      <c r="F44" s="39">
        <f t="shared" si="1"/>
        <v>1.004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IFERROR(VLOOKUP(A45,[4]Małopolski!$A$7:$D$100,4,FALSE),0)</f>
        <v>26</v>
      </c>
      <c r="D45" s="33">
        <f t="shared" ref="D45:D60" si="3">C45</f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IFERROR(VLOOKUP(A46,[4]Małopolski!$A$7:$D$100,4,FALSE),0)</f>
        <v>26</v>
      </c>
      <c r="D46" s="33">
        <f t="shared" si="3"/>
        <v>26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IFERROR(VLOOKUP(A47,[4]Małopolski!$A$7:$D$100,4,FALSE),0)</f>
        <v>56</v>
      </c>
      <c r="D47" s="33">
        <f t="shared" si="3"/>
        <v>56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IFERROR(VLOOKUP(A48,[4]Małopolski!$A$7:$D$100,4,FALSE),0)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IFERROR(VLOOKUP(A49,[4]Małopolski!$A$7:$D$100,4,FALSE),0)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IFERROR(VLOOKUP(A50,[4]Małopolski!$A$7:$D$100,4,FALSE),0)</f>
        <v>100</v>
      </c>
      <c r="D50" s="33">
        <f>C50+1</f>
        <v>101</v>
      </c>
      <c r="E50" s="38">
        <f t="shared" si="0"/>
        <v>1</v>
      </c>
      <c r="F50" s="39">
        <f t="shared" si="1"/>
        <v>1.01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IFERROR(VLOOKUP(A51,[4]Małopolski!$A$7:$D$100,4,FALSE),0)</f>
        <v>65</v>
      </c>
      <c r="D51" s="33">
        <f t="shared" si="3"/>
        <v>65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IFERROR(VLOOKUP(A52,[4]Małopolski!$A$7:$D$100,4,FALSE),0)</f>
        <v>26145</v>
      </c>
      <c r="D52" s="33">
        <f>C52+390</f>
        <v>26535</v>
      </c>
      <c r="E52" s="38">
        <f t="shared" si="0"/>
        <v>390</v>
      </c>
      <c r="F52" s="39">
        <f t="shared" si="1"/>
        <v>1.0148999999999999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IFERROR(VLOOKUP(A53,[4]Małopolski!$A$7:$D$100,4,FALSE),0)</f>
        <v>24</v>
      </c>
      <c r="D53" s="33">
        <f t="shared" si="3"/>
        <v>24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181</v>
      </c>
      <c r="C54" s="29">
        <f>C55+C56+C57+C58</f>
        <v>5850</v>
      </c>
      <c r="D54" s="29">
        <f>D55+D56+D57+D58</f>
        <v>5931</v>
      </c>
      <c r="E54" s="38">
        <f t="shared" si="0"/>
        <v>81</v>
      </c>
      <c r="F54" s="39">
        <f t="shared" si="1"/>
        <v>1.0138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IFERROR(VLOOKUP(A55,[4]Małopolski!$A$7:$D$100,4,FALSE),0)</f>
        <v>4488</v>
      </c>
      <c r="D55" s="33">
        <f>C55+63</f>
        <v>4551</v>
      </c>
      <c r="E55" s="38">
        <f t="shared" si="0"/>
        <v>63</v>
      </c>
      <c r="F55" s="39">
        <f t="shared" si="1"/>
        <v>1.014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IFERROR(VLOOKUP(A56,[4]Małopolski!$A$7:$D$100,4,FALSE),0)</f>
        <v>641</v>
      </c>
      <c r="D56" s="33">
        <f>C56+7</f>
        <v>648</v>
      </c>
      <c r="E56" s="38">
        <f t="shared" si="0"/>
        <v>7</v>
      </c>
      <c r="F56" s="39">
        <f t="shared" si="1"/>
        <v>1.0108999999999999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IFERROR(VLOOKUP(A57,[4]Małopolski!$A$7:$D$100,4,FALSE),0)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IFERROR(VLOOKUP(A58,[4]Małopolski!$A$7:$D$100,4,FALSE),0)</f>
        <v>721</v>
      </c>
      <c r="D58" s="33">
        <f>C58+11</f>
        <v>732</v>
      </c>
      <c r="E58" s="38">
        <f t="shared" si="0"/>
        <v>11</v>
      </c>
      <c r="F58" s="39">
        <f t="shared" si="1"/>
        <v>1.0153000000000001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IFERROR(VLOOKUP(A59,[4]Małopolski!$A$7:$D$100,4,FALSE),0)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IFERROR(VLOOKUP(A60,[4]Małopolski!$A$7:$D$100,4,FALSE),0)</f>
        <v>3400</v>
      </c>
      <c r="D60" s="33">
        <f t="shared" si="3"/>
        <v>3400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IFERROR(VLOOKUP(A61,[4]Małopolski!$A$7:$D$100,4,FALSE),0)</f>
        <v>300</v>
      </c>
      <c r="D61" s="33">
        <f>C61+2</f>
        <v>302</v>
      </c>
      <c r="E61" s="38">
        <f t="shared" si="0"/>
        <v>2</v>
      </c>
      <c r="F61" s="39">
        <f t="shared" si="1"/>
        <v>1.0066999999999999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14415</v>
      </c>
      <c r="D62" s="87">
        <f>D63+D64+D65+D66</f>
        <v>14415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IFERROR(VLOOKUP(A63,[4]Małopolski!$A$7:$D$100,4,FALSE),0)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IFERROR(VLOOKUP(A64,[4]Małopolski!$A$7:$D$100,4,FALSE),0)</f>
        <v>11150</v>
      </c>
      <c r="D64" s="33">
        <f>C64</f>
        <v>11150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IFERROR(VLOOKUP(A65,[4]Małopolski!$A$7:$D$100,4,FALSE),0)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IFERROR(VLOOKUP(A66,[4]Małopolski!$A$7:$D$100,4,FALSE),0)</f>
        <v>3265</v>
      </c>
      <c r="D66" s="33">
        <f>C66</f>
        <v>3265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IFERROR(VLOOKUP(A67,[4]Małopolski!$A$7:$D$100,4,FALSE),0)</f>
        <v>300</v>
      </c>
      <c r="D67" s="87">
        <f>C67</f>
        <v>300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Żabicka Halina</dc:creator>
  <cp:lastModifiedBy>Klimczak Mateusz</cp:lastModifiedBy>
  <cp:lastPrinted>2019-05-24T08:22:40Z</cp:lastPrinted>
  <dcterms:created xsi:type="dcterms:W3CDTF">2005-07-21T09:51:05Z</dcterms:created>
  <dcterms:modified xsi:type="dcterms:W3CDTF">2019-06-06T13:15:16Z</dcterms:modified>
</cp:coreProperties>
</file>