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1" i="7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<sst xmlns="http://schemas.openxmlformats.org/spreadsheetml/2006/main" count="97" uniqueCount="81">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</sst>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miast na prawach powiatu za  ",$C$93," ",$B$94," roku     ",$B$96,"")</f>
        <v xml:space="preserve">Informacja z wykonania budżetów miast na prawach powiatu za  I Kwartał 2023 roku 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4" t="s">
        <v>64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7" ht="13.5" customHeight="1" x14ac:dyDescent="0.2">
      <c r="B5" s="12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1"/>
      <c r="O5" s="11"/>
      <c r="P5" s="11"/>
      <c r="Q5" s="11"/>
    </row>
    <row r="6" spans="1:17" ht="13.5" customHeight="1" x14ac:dyDescent="0.2">
      <c r="A6" s="59" t="s">
        <v>0</v>
      </c>
      <c r="B6" s="69" t="s">
        <v>65</v>
      </c>
      <c r="C6" s="26" t="s">
        <v>69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68</v>
      </c>
      <c r="P6" s="27"/>
      <c r="Q6" s="28"/>
    </row>
    <row r="7" spans="1:17" ht="13.5" customHeight="1" x14ac:dyDescent="0.2">
      <c r="A7" s="60"/>
      <c r="B7" s="70"/>
      <c r="C7" s="62" t="s">
        <v>66</v>
      </c>
      <c r="D7" s="62" t="s">
        <v>1</v>
      </c>
      <c r="E7" s="62" t="s">
        <v>70</v>
      </c>
      <c r="F7" s="62" t="s">
        <v>71</v>
      </c>
      <c r="G7" s="62" t="s">
        <v>28</v>
      </c>
      <c r="H7" s="62" t="s">
        <v>29</v>
      </c>
      <c r="I7" s="71" t="s">
        <v>67</v>
      </c>
      <c r="J7" s="62" t="s">
        <v>17</v>
      </c>
      <c r="K7" s="62" t="s">
        <v>18</v>
      </c>
      <c r="L7" s="62" t="s">
        <v>19</v>
      </c>
      <c r="M7" s="62" t="s">
        <v>20</v>
      </c>
      <c r="N7" s="70" t="s">
        <v>21</v>
      </c>
      <c r="O7" s="29" t="s">
        <v>22</v>
      </c>
      <c r="P7" s="29" t="s">
        <v>23</v>
      </c>
      <c r="Q7" s="29" t="s">
        <v>24</v>
      </c>
    </row>
    <row r="8" spans="1:17" ht="13.5" customHeight="1" x14ac:dyDescent="0.2">
      <c r="A8" s="60"/>
      <c r="B8" s="70"/>
      <c r="C8" s="29"/>
      <c r="D8" s="29"/>
      <c r="E8" s="29"/>
      <c r="F8" s="29"/>
      <c r="G8" s="29"/>
      <c r="H8" s="29"/>
      <c r="I8" s="71"/>
      <c r="J8" s="29"/>
      <c r="K8" s="29"/>
      <c r="L8" s="29"/>
      <c r="M8" s="29"/>
      <c r="N8" s="70"/>
      <c r="O8" s="29"/>
      <c r="P8" s="29"/>
      <c r="Q8" s="29"/>
    </row>
    <row r="9" spans="1:17" ht="11.25" customHeight="1" x14ac:dyDescent="0.2">
      <c r="A9" s="60"/>
      <c r="B9" s="70"/>
      <c r="C9" s="29"/>
      <c r="D9" s="29"/>
      <c r="E9" s="29"/>
      <c r="F9" s="29"/>
      <c r="G9" s="29"/>
      <c r="H9" s="29"/>
      <c r="I9" s="71"/>
      <c r="J9" s="29"/>
      <c r="K9" s="29"/>
      <c r="L9" s="29"/>
      <c r="M9" s="29"/>
      <c r="N9" s="70"/>
      <c r="O9" s="29"/>
      <c r="P9" s="29"/>
      <c r="Q9" s="29"/>
    </row>
    <row r="10" spans="1:17" ht="11.25" customHeight="1" x14ac:dyDescent="0.2">
      <c r="A10" s="61"/>
      <c r="B10" s="62"/>
      <c r="C10" s="29"/>
      <c r="D10" s="29"/>
      <c r="E10" s="29"/>
      <c r="F10" s="29"/>
      <c r="G10" s="29"/>
      <c r="H10" s="29"/>
      <c r="I10" s="72"/>
      <c r="J10" s="29"/>
      <c r="K10" s="29"/>
      <c r="L10" s="29"/>
      <c r="M10" s="29"/>
      <c r="N10" s="62"/>
      <c r="O10" s="29"/>
      <c r="P10" s="29"/>
      <c r="Q10" s="29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3" t="s">
        <v>79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38.25" customHeight="1" x14ac:dyDescent="0.2">
      <c r="A13" s="20" t="s">
        <v>47</v>
      </c>
      <c r="B13" s="21">
        <f>45066332743.3</f>
        <v>45066332743.300003</v>
      </c>
      <c r="C13" s="21">
        <f>23117798747.91</f>
        <v>23117798747.91</v>
      </c>
      <c r="D13" s="21">
        <f>409065507.05</f>
        <v>409065507.05000001</v>
      </c>
      <c r="E13" s="21">
        <f>155.48</f>
        <v>155.47999999999999</v>
      </c>
      <c r="F13" s="21">
        <f>216940286.27</f>
        <v>216940286.27000001</v>
      </c>
      <c r="G13" s="21">
        <f>192117055.36</f>
        <v>192117055.36000001</v>
      </c>
      <c r="H13" s="21">
        <f>8009.94</f>
        <v>8009.94</v>
      </c>
      <c r="I13" s="21">
        <f>0</f>
        <v>0</v>
      </c>
      <c r="J13" s="21">
        <f>20388837782.73</f>
        <v>20388837782.73</v>
      </c>
      <c r="K13" s="21">
        <f>839925216.4</f>
        <v>839925216.39999998</v>
      </c>
      <c r="L13" s="21">
        <f>1465451253.98</f>
        <v>1465451253.98</v>
      </c>
      <c r="M13" s="21">
        <f>12673331.33</f>
        <v>12673331.33</v>
      </c>
      <c r="N13" s="21">
        <f>1845656.42</f>
        <v>1845656.42</v>
      </c>
      <c r="O13" s="21">
        <f>21948533995.39</f>
        <v>21948533995.389999</v>
      </c>
      <c r="P13" s="21">
        <f>21926033995.39</f>
        <v>21926033995.389999</v>
      </c>
      <c r="Q13" s="21">
        <f>22500000</f>
        <v>22500000</v>
      </c>
    </row>
    <row r="14" spans="1:17" ht="38.25" customHeight="1" x14ac:dyDescent="0.2">
      <c r="A14" s="20" t="s">
        <v>48</v>
      </c>
      <c r="B14" s="21">
        <f>4155957000</f>
        <v>4155957000</v>
      </c>
      <c r="C14" s="21">
        <f>4155957000</f>
        <v>4155957000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3989457000</f>
        <v>3989457000</v>
      </c>
      <c r="K14" s="21">
        <f>166500000</f>
        <v>166500000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10000000</f>
        <v>10000000</v>
      </c>
      <c r="C15" s="22">
        <f>10000000</f>
        <v>10000000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10000000</f>
        <v>10000000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4145957000</f>
        <v>4145957000</v>
      </c>
      <c r="C16" s="22">
        <f>4145957000</f>
        <v>4145957000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3979457000</f>
        <v>3979457000</v>
      </c>
      <c r="K16" s="22">
        <f>166500000</f>
        <v>166500000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40889597578.42</f>
        <v>40889597578.419998</v>
      </c>
      <c r="C17" s="21">
        <f>18941063583.03</f>
        <v>18941063583.029999</v>
      </c>
      <c r="D17" s="21">
        <f>405358079.61</f>
        <v>405358079.61000001</v>
      </c>
      <c r="E17" s="21">
        <f>0</f>
        <v>0</v>
      </c>
      <c r="F17" s="21">
        <f>216940286.27</f>
        <v>216940286.27000001</v>
      </c>
      <c r="G17" s="21">
        <f>188417793.34</f>
        <v>188417793.34</v>
      </c>
      <c r="H17" s="21">
        <f>0</f>
        <v>0</v>
      </c>
      <c r="I17" s="21">
        <f>0</f>
        <v>0</v>
      </c>
      <c r="J17" s="21">
        <f>16399380782.73</f>
        <v>16399380782.73</v>
      </c>
      <c r="K17" s="21">
        <f>673425216.4</f>
        <v>673425216.39999998</v>
      </c>
      <c r="L17" s="21">
        <f>1462661650.8</f>
        <v>1462661650.8</v>
      </c>
      <c r="M17" s="21">
        <f>237853.49</f>
        <v>237853.49</v>
      </c>
      <c r="N17" s="21">
        <f>0</f>
        <v>0</v>
      </c>
      <c r="O17" s="21">
        <f>21948533995.39</f>
        <v>21948533995.389999</v>
      </c>
      <c r="P17" s="21">
        <f>21926033995.39</f>
        <v>21926033995.389999</v>
      </c>
      <c r="Q17" s="21">
        <f>22500000</f>
        <v>22500000</v>
      </c>
    </row>
    <row r="18" spans="1:17" ht="38.25" customHeight="1" x14ac:dyDescent="0.2">
      <c r="A18" s="18" t="s">
        <v>52</v>
      </c>
      <c r="B18" s="22">
        <f>54905005.5</f>
        <v>54905005.5</v>
      </c>
      <c r="C18" s="22">
        <f>54905005.5</f>
        <v>54905005.5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54043611.9</f>
        <v>54043611.899999999</v>
      </c>
      <c r="K18" s="22">
        <f>0</f>
        <v>0</v>
      </c>
      <c r="L18" s="22">
        <f>861393.6</f>
        <v>861393.6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40834692572.92</f>
        <v>40834692572.919998</v>
      </c>
      <c r="C19" s="22">
        <f>18886158577.53</f>
        <v>18886158577.529999</v>
      </c>
      <c r="D19" s="22">
        <f>405358079.61</f>
        <v>405358079.61000001</v>
      </c>
      <c r="E19" s="22">
        <f>0</f>
        <v>0</v>
      </c>
      <c r="F19" s="22">
        <f>216940286.27</f>
        <v>216940286.27000001</v>
      </c>
      <c r="G19" s="22">
        <f>188417793.34</f>
        <v>188417793.34</v>
      </c>
      <c r="H19" s="22">
        <f>0</f>
        <v>0</v>
      </c>
      <c r="I19" s="22">
        <f>0</f>
        <v>0</v>
      </c>
      <c r="J19" s="22">
        <f>16345337170.83</f>
        <v>16345337170.83</v>
      </c>
      <c r="K19" s="22">
        <f>673425216.4</f>
        <v>673425216.39999998</v>
      </c>
      <c r="L19" s="22">
        <f>1461800257.2</f>
        <v>1461800257.2</v>
      </c>
      <c r="M19" s="22">
        <f>237853.49</f>
        <v>237853.49</v>
      </c>
      <c r="N19" s="22">
        <f>0</f>
        <v>0</v>
      </c>
      <c r="O19" s="22">
        <f>21948533995.39</f>
        <v>21948533995.389999</v>
      </c>
      <c r="P19" s="22">
        <f>21926033995.39</f>
        <v>21926033995.389999</v>
      </c>
      <c r="Q19" s="22">
        <f>22500000</f>
        <v>22500000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20778164.88</f>
        <v>20778164.879999999</v>
      </c>
      <c r="C21" s="21">
        <f>20778164.88</f>
        <v>20778164.879999999</v>
      </c>
      <c r="D21" s="21">
        <f>3707427.44</f>
        <v>3707427.44</v>
      </c>
      <c r="E21" s="21">
        <f>155.48</f>
        <v>155.47999999999999</v>
      </c>
      <c r="F21" s="21">
        <f>0</f>
        <v>0</v>
      </c>
      <c r="G21" s="21">
        <f>3699262.02</f>
        <v>3699262.02</v>
      </c>
      <c r="H21" s="21">
        <f>8009.94</f>
        <v>8009.94</v>
      </c>
      <c r="I21" s="21">
        <f>0</f>
        <v>0</v>
      </c>
      <c r="J21" s="21">
        <f>0</f>
        <v>0</v>
      </c>
      <c r="K21" s="21">
        <f>0</f>
        <v>0</v>
      </c>
      <c r="L21" s="21">
        <f>2789603.18</f>
        <v>2789603.18</v>
      </c>
      <c r="M21" s="21">
        <f>12435477.84</f>
        <v>12435477.84</v>
      </c>
      <c r="N21" s="21">
        <f>1845656.42</f>
        <v>1845656.42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14941324.06</f>
        <v>14941324.060000001</v>
      </c>
      <c r="C22" s="22">
        <f>14941324.06</f>
        <v>14941324.060000001</v>
      </c>
      <c r="D22" s="22">
        <f>26720.01</f>
        <v>26720.01</v>
      </c>
      <c r="E22" s="22">
        <f>155.48</f>
        <v>155.47999999999999</v>
      </c>
      <c r="F22" s="22">
        <f>0</f>
        <v>0</v>
      </c>
      <c r="G22" s="22">
        <f>26564.53</f>
        <v>26564.53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1349328.26</f>
        <v>1349328.26</v>
      </c>
      <c r="M22" s="22">
        <f>11722737.85</f>
        <v>11722737.85</v>
      </c>
      <c r="N22" s="22">
        <f>1842537.94</f>
        <v>1842537.94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5836840.82</f>
        <v>5836840.8200000003</v>
      </c>
      <c r="C23" s="22">
        <f>5836840.82</f>
        <v>5836840.8200000003</v>
      </c>
      <c r="D23" s="22">
        <f>3680707.43</f>
        <v>3680707.43</v>
      </c>
      <c r="E23" s="22">
        <f>0</f>
        <v>0</v>
      </c>
      <c r="F23" s="22">
        <f>0</f>
        <v>0</v>
      </c>
      <c r="G23" s="22">
        <f>3672697.49</f>
        <v>3672697.49</v>
      </c>
      <c r="H23" s="22">
        <f>8009.94</f>
        <v>8009.94</v>
      </c>
      <c r="I23" s="22">
        <f>0</f>
        <v>0</v>
      </c>
      <c r="J23" s="22">
        <f>0</f>
        <v>0</v>
      </c>
      <c r="K23" s="22">
        <f>0</f>
        <v>0</v>
      </c>
      <c r="L23" s="22">
        <f>1440274.92</f>
        <v>1440274.92</v>
      </c>
      <c r="M23" s="22">
        <f>712739.99</f>
        <v>712739.99</v>
      </c>
      <c r="N23" s="22">
        <f>3118.48</f>
        <v>3118.48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0" t="str">
        <f>CONCATENATE("Informacja z wykonania budżetów miast na prawach powiatu za  ",$C$93," ",$B$94," roku     ",$B$96,"")</f>
        <v xml:space="preserve">Informacja z wykonania budżetów miast na prawach powiatu za  I Kwartał 2023 roku     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2" spans="1:17" ht="13.5" customHeight="1" x14ac:dyDescent="0.2">
      <c r="A32" s="44" t="s">
        <v>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4" spans="1:17" ht="13.5" customHeight="1" x14ac:dyDescent="0.2">
      <c r="A34" s="59" t="s">
        <v>0</v>
      </c>
      <c r="B34" s="69" t="s">
        <v>13</v>
      </c>
      <c r="C34" s="73" t="s">
        <v>15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73" t="s">
        <v>25</v>
      </c>
      <c r="P34" s="74"/>
      <c r="Q34" s="75"/>
    </row>
    <row r="35" spans="1:17" ht="13.5" customHeight="1" x14ac:dyDescent="0.2">
      <c r="A35" s="60"/>
      <c r="B35" s="70"/>
      <c r="C35" s="70" t="s">
        <v>14</v>
      </c>
      <c r="D35" s="29" t="s">
        <v>16</v>
      </c>
      <c r="E35" s="29" t="s">
        <v>26</v>
      </c>
      <c r="F35" s="29" t="s">
        <v>27</v>
      </c>
      <c r="G35" s="29" t="s">
        <v>75</v>
      </c>
      <c r="H35" s="29" t="s">
        <v>29</v>
      </c>
      <c r="I35" s="29" t="s">
        <v>2</v>
      </c>
      <c r="J35" s="29" t="s">
        <v>17</v>
      </c>
      <c r="K35" s="29" t="s">
        <v>18</v>
      </c>
      <c r="L35" s="29" t="s">
        <v>19</v>
      </c>
      <c r="M35" s="29" t="s">
        <v>20</v>
      </c>
      <c r="N35" s="76" t="s">
        <v>21</v>
      </c>
      <c r="O35" s="29" t="s">
        <v>22</v>
      </c>
      <c r="P35" s="29" t="s">
        <v>23</v>
      </c>
      <c r="Q35" s="69" t="s">
        <v>24</v>
      </c>
    </row>
    <row r="36" spans="1:17" ht="11.25" customHeight="1" x14ac:dyDescent="0.2">
      <c r="A36" s="60"/>
      <c r="B36" s="70"/>
      <c r="C36" s="7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76"/>
      <c r="O36" s="29"/>
      <c r="P36" s="29"/>
      <c r="Q36" s="70"/>
    </row>
    <row r="37" spans="1:17" ht="24.75" customHeight="1" x14ac:dyDescent="0.2">
      <c r="A37" s="61"/>
      <c r="B37" s="62"/>
      <c r="C37" s="6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76"/>
      <c r="O37" s="29"/>
      <c r="P37" s="29"/>
      <c r="Q37" s="62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36" t="s">
        <v>79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26.25" customHeight="1" x14ac:dyDescent="0.2">
      <c r="A40" s="25" t="s">
        <v>42</v>
      </c>
      <c r="B40" s="23">
        <f>2540521.01</f>
        <v>2540521.0099999998</v>
      </c>
      <c r="C40" s="23">
        <f>2540521.01</f>
        <v>2540521.0099999998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2019411.82</f>
        <v>2019411.82</v>
      </c>
      <c r="M40" s="23">
        <f>521109.19</f>
        <v>521109.19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1675165</f>
        <v>1675165</v>
      </c>
      <c r="C41" s="24">
        <f>1675165</f>
        <v>1675165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1296602</f>
        <v>1296602</v>
      </c>
      <c r="M41" s="24">
        <f>378563</f>
        <v>378563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865356.01</f>
        <v>865356.01</v>
      </c>
      <c r="C42" s="24">
        <f>865356.01</f>
        <v>865356.01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722809.82</f>
        <v>722809.82</v>
      </c>
      <c r="M42" s="24">
        <f>142546.19</f>
        <v>142546.19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349951587.09</f>
        <v>349951587.08999997</v>
      </c>
      <c r="C43" s="23">
        <f>349951587.09</f>
        <v>349951587.08999997</v>
      </c>
      <c r="D43" s="23">
        <f>139768721.04</f>
        <v>139768721.03999999</v>
      </c>
      <c r="E43" s="23">
        <f>2125</f>
        <v>2125</v>
      </c>
      <c r="F43" s="23">
        <f>0</f>
        <v>0</v>
      </c>
      <c r="G43" s="23">
        <f>139766596.04</f>
        <v>139766596.03999999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127374958.45</f>
        <v>127374958.45</v>
      </c>
      <c r="M43" s="23">
        <f>77852244.36</f>
        <v>77852244.359999999</v>
      </c>
      <c r="N43" s="23">
        <f>4951103.24</f>
        <v>4951103.24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47390024.38</f>
        <v>47390024.380000003</v>
      </c>
      <c r="C44" s="24">
        <f>47390024.38</f>
        <v>47390024.380000003</v>
      </c>
      <c r="D44" s="24">
        <f>13511748.62</f>
        <v>13511748.619999999</v>
      </c>
      <c r="E44" s="24">
        <f>2125</f>
        <v>2125</v>
      </c>
      <c r="F44" s="24">
        <f>0</f>
        <v>0</v>
      </c>
      <c r="G44" s="24">
        <f>13509623.62</f>
        <v>13509623.619999999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14832089.28</f>
        <v>14832089.279999999</v>
      </c>
      <c r="M44" s="24">
        <f>18481626.48</f>
        <v>18481626.48</v>
      </c>
      <c r="N44" s="24">
        <f>560000</f>
        <v>560000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302561562.71</f>
        <v>302561562.70999998</v>
      </c>
      <c r="C45" s="24">
        <f>302561562.71</f>
        <v>302561562.70999998</v>
      </c>
      <c r="D45" s="24">
        <f>126256972.42</f>
        <v>126256972.42</v>
      </c>
      <c r="E45" s="24">
        <f>0</f>
        <v>0</v>
      </c>
      <c r="F45" s="24">
        <f>0</f>
        <v>0</v>
      </c>
      <c r="G45" s="24">
        <f>126256972.42</f>
        <v>126256972.42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112542869.17</f>
        <v>112542869.17</v>
      </c>
      <c r="M45" s="24">
        <f>59370617.88</f>
        <v>59370617.880000003</v>
      </c>
      <c r="N45" s="24">
        <f>4391103.24</f>
        <v>4391103.24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13583050140.49</f>
        <v>13583050140.49</v>
      </c>
      <c r="C46" s="23">
        <f>13583050140.49</f>
        <v>13583050140.49</v>
      </c>
      <c r="D46" s="23">
        <f>12886947.94</f>
        <v>12886947.939999999</v>
      </c>
      <c r="E46" s="23">
        <f>88598.34</f>
        <v>88598.34</v>
      </c>
      <c r="F46" s="23">
        <f>28292.65</f>
        <v>28292.65</v>
      </c>
      <c r="G46" s="23">
        <f>12770056.95</f>
        <v>12770056.949999999</v>
      </c>
      <c r="H46" s="23">
        <f>0</f>
        <v>0</v>
      </c>
      <c r="I46" s="23">
        <f>3268687.04</f>
        <v>3268687.04</v>
      </c>
      <c r="J46" s="23">
        <f>13564840352.93</f>
        <v>13564840352.93</v>
      </c>
      <c r="K46" s="23">
        <f>43005.33</f>
        <v>43005.33</v>
      </c>
      <c r="L46" s="23">
        <f>1951747.17</f>
        <v>1951747.17</v>
      </c>
      <c r="M46" s="23">
        <f>59149.47</f>
        <v>59149.47</v>
      </c>
      <c r="N46" s="23">
        <f>250.61</f>
        <v>250.61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8083593.19</f>
        <v>8083593.1900000004</v>
      </c>
      <c r="C47" s="24">
        <f>8083593.19</f>
        <v>8083593.1900000004</v>
      </c>
      <c r="D47" s="24">
        <f>8083593.19</f>
        <v>8083593.1900000004</v>
      </c>
      <c r="E47" s="24">
        <f>0</f>
        <v>0</v>
      </c>
      <c r="F47" s="24">
        <f>0</f>
        <v>0</v>
      </c>
      <c r="G47" s="24">
        <f>8083593.19</f>
        <v>8083593.1900000004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6292271564.41</f>
        <v>6292271564.4099998</v>
      </c>
      <c r="C48" s="24">
        <f>6292271564.41</f>
        <v>6292271564.4099998</v>
      </c>
      <c r="D48" s="24">
        <f>4637512.36</f>
        <v>4637512.3600000003</v>
      </c>
      <c r="E48" s="24">
        <f>14000</f>
        <v>14000</v>
      </c>
      <c r="F48" s="24">
        <f>1.65</f>
        <v>1.65</v>
      </c>
      <c r="G48" s="24">
        <f>4623510.71</f>
        <v>4623510.71</v>
      </c>
      <c r="H48" s="24">
        <f>0</f>
        <v>0</v>
      </c>
      <c r="I48" s="24">
        <f>3216271.04</f>
        <v>3216271.04</v>
      </c>
      <c r="J48" s="24">
        <f>6283600709.06</f>
        <v>6283600709.0600004</v>
      </c>
      <c r="K48" s="24">
        <f>43005.33</f>
        <v>43005.33</v>
      </c>
      <c r="L48" s="24">
        <f>772697.2</f>
        <v>772697.2</v>
      </c>
      <c r="M48" s="24">
        <f>1118.81</f>
        <v>1118.81</v>
      </c>
      <c r="N48" s="24">
        <f>250.61</f>
        <v>250.61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7282694982.89</f>
        <v>7282694982.8900003</v>
      </c>
      <c r="C49" s="24">
        <f>7282694982.89</f>
        <v>7282694982.8900003</v>
      </c>
      <c r="D49" s="24">
        <f>165842.39</f>
        <v>165842.39000000001</v>
      </c>
      <c r="E49" s="24">
        <f>74598.34</f>
        <v>74598.34</v>
      </c>
      <c r="F49" s="24">
        <f>28291</f>
        <v>28291</v>
      </c>
      <c r="G49" s="24">
        <f>62953.05</f>
        <v>62953.05</v>
      </c>
      <c r="H49" s="24">
        <f>0</f>
        <v>0</v>
      </c>
      <c r="I49" s="24">
        <f>52416</f>
        <v>52416</v>
      </c>
      <c r="J49" s="24">
        <f>7281239643.87</f>
        <v>7281239643.8699999</v>
      </c>
      <c r="K49" s="24">
        <f>0</f>
        <v>0</v>
      </c>
      <c r="L49" s="24">
        <f>1179049.97</f>
        <v>1179049.97</v>
      </c>
      <c r="M49" s="24">
        <f>58030.66</f>
        <v>58030.66</v>
      </c>
      <c r="N49" s="24">
        <f>0</f>
        <v>0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12443226192.26</f>
        <v>12443226192.26</v>
      </c>
      <c r="C50" s="23">
        <f>12417968317.48</f>
        <v>12417968317.48</v>
      </c>
      <c r="D50" s="23">
        <f>366119456.74</f>
        <v>366119456.74000001</v>
      </c>
      <c r="E50" s="23">
        <f>60040735.38</f>
        <v>60040735.380000003</v>
      </c>
      <c r="F50" s="23">
        <f>12011825.64</f>
        <v>12011825.640000001</v>
      </c>
      <c r="G50" s="23">
        <f>292431585.3</f>
        <v>292431585.30000001</v>
      </c>
      <c r="H50" s="23">
        <f>1635310.42</f>
        <v>1635310.42</v>
      </c>
      <c r="I50" s="23">
        <f>665.17</f>
        <v>665.17</v>
      </c>
      <c r="J50" s="23">
        <f>186730.8</f>
        <v>186730.8</v>
      </c>
      <c r="K50" s="23">
        <f>4451035.58</f>
        <v>4451035.58</v>
      </c>
      <c r="L50" s="23">
        <f>2800669937.06</f>
        <v>2800669937.0599999</v>
      </c>
      <c r="M50" s="23">
        <f>9159155812.04</f>
        <v>9159155812.0400009</v>
      </c>
      <c r="N50" s="23">
        <f>87384680.09</f>
        <v>87384680.090000004</v>
      </c>
      <c r="O50" s="23">
        <f>25257874.78</f>
        <v>25257874.780000001</v>
      </c>
      <c r="P50" s="23">
        <f>13445465.83</f>
        <v>13445465.83</v>
      </c>
      <c r="Q50" s="23">
        <f>11812408.95</f>
        <v>11812408.949999999</v>
      </c>
    </row>
    <row r="51" spans="1:17" ht="26.25" customHeight="1" x14ac:dyDescent="0.2">
      <c r="A51" s="19" t="s">
        <v>37</v>
      </c>
      <c r="B51" s="24">
        <f>5145788824.71</f>
        <v>5145788824.71</v>
      </c>
      <c r="C51" s="24">
        <f>5143233307.39</f>
        <v>5143233307.3900003</v>
      </c>
      <c r="D51" s="24">
        <f>67244646.32</f>
        <v>67244646.319999993</v>
      </c>
      <c r="E51" s="24">
        <f>1217661.88</f>
        <v>1217661.8799999999</v>
      </c>
      <c r="F51" s="24">
        <f>2652900.51</f>
        <v>2652900.5099999998</v>
      </c>
      <c r="G51" s="24">
        <f>63368295.69</f>
        <v>63368295.689999998</v>
      </c>
      <c r="H51" s="24">
        <f>5788.24</f>
        <v>5788.24</v>
      </c>
      <c r="I51" s="24">
        <f>0</f>
        <v>0</v>
      </c>
      <c r="J51" s="24">
        <f>26018.16</f>
        <v>26018.16</v>
      </c>
      <c r="K51" s="24">
        <f>417639.14</f>
        <v>417639.14</v>
      </c>
      <c r="L51" s="24">
        <f>681057761.95</f>
        <v>681057761.95000005</v>
      </c>
      <c r="M51" s="24">
        <f>4349918646.06</f>
        <v>4349918646.0600004</v>
      </c>
      <c r="N51" s="24">
        <f>44568595.76</f>
        <v>44568595.759999998</v>
      </c>
      <c r="O51" s="24">
        <f>2555517.32</f>
        <v>2555517.3199999998</v>
      </c>
      <c r="P51" s="24">
        <f>630379.66</f>
        <v>630379.66</v>
      </c>
      <c r="Q51" s="24">
        <f>1925137.66</f>
        <v>1925137.66</v>
      </c>
    </row>
    <row r="52" spans="1:17" ht="26.25" customHeight="1" x14ac:dyDescent="0.2">
      <c r="A52" s="19" t="s">
        <v>38</v>
      </c>
      <c r="B52" s="24">
        <f>7297437367.55</f>
        <v>7297437367.5500002</v>
      </c>
      <c r="C52" s="24">
        <f>7274735010.09</f>
        <v>7274735010.0900002</v>
      </c>
      <c r="D52" s="24">
        <f>298874810.42</f>
        <v>298874810.42000002</v>
      </c>
      <c r="E52" s="24">
        <f>58823073.5</f>
        <v>58823073.5</v>
      </c>
      <c r="F52" s="24">
        <f>9358925.13</f>
        <v>9358925.1300000008</v>
      </c>
      <c r="G52" s="24">
        <f>229063289.61</f>
        <v>229063289.61000001</v>
      </c>
      <c r="H52" s="24">
        <f>1629522.18</f>
        <v>1629522.18</v>
      </c>
      <c r="I52" s="24">
        <f>665.17</f>
        <v>665.17</v>
      </c>
      <c r="J52" s="24">
        <f>160712.64</f>
        <v>160712.64000000001</v>
      </c>
      <c r="K52" s="24">
        <f>4033396.44</f>
        <v>4033396.44</v>
      </c>
      <c r="L52" s="24">
        <f>2119612175.11</f>
        <v>2119612175.1099999</v>
      </c>
      <c r="M52" s="24">
        <f>4809237165.98</f>
        <v>4809237165.9799995</v>
      </c>
      <c r="N52" s="24">
        <f>42816084.33</f>
        <v>42816084.329999998</v>
      </c>
      <c r="O52" s="24">
        <f>22702357.46</f>
        <v>22702357.460000001</v>
      </c>
      <c r="P52" s="24">
        <f>12815086.17</f>
        <v>12815086.17</v>
      </c>
      <c r="Q52" s="24">
        <f>9887271.29</f>
        <v>9887271.2899999991</v>
      </c>
    </row>
    <row r="53" spans="1:17" ht="26.25" customHeight="1" x14ac:dyDescent="0.2">
      <c r="A53" s="25" t="s">
        <v>46</v>
      </c>
      <c r="B53" s="23">
        <f>13683297691.61</f>
        <v>13683297691.610001</v>
      </c>
      <c r="C53" s="23">
        <f>13647371987.16</f>
        <v>13647371987.16</v>
      </c>
      <c r="D53" s="23">
        <f>1107763750.07</f>
        <v>1107763750.0699999</v>
      </c>
      <c r="E53" s="23">
        <f>356292544.74</f>
        <v>356292544.74000001</v>
      </c>
      <c r="F53" s="23">
        <f>96719149.3</f>
        <v>96719149.299999997</v>
      </c>
      <c r="G53" s="23">
        <f>631336820.49</f>
        <v>631336820.49000001</v>
      </c>
      <c r="H53" s="23">
        <f>23415235.54</f>
        <v>23415235.539999999</v>
      </c>
      <c r="I53" s="23">
        <f>3807589.67</f>
        <v>3807589.67</v>
      </c>
      <c r="J53" s="23">
        <f>21429057.41</f>
        <v>21429057.41</v>
      </c>
      <c r="K53" s="23">
        <f>49062356.19</f>
        <v>49062356.189999998</v>
      </c>
      <c r="L53" s="23">
        <f>9035691190.82</f>
        <v>9035691190.8199997</v>
      </c>
      <c r="M53" s="23">
        <f>3100077166.28</f>
        <v>3100077166.2800002</v>
      </c>
      <c r="N53" s="23">
        <f>329540876.72</f>
        <v>329540876.72000003</v>
      </c>
      <c r="O53" s="23">
        <f>35925704.45</f>
        <v>35925704.450000003</v>
      </c>
      <c r="P53" s="23">
        <f>25402631.44</f>
        <v>25402631.440000001</v>
      </c>
      <c r="Q53" s="23">
        <f>10523073.01</f>
        <v>10523073.01</v>
      </c>
    </row>
    <row r="54" spans="1:17" ht="26.25" customHeight="1" x14ac:dyDescent="0.2">
      <c r="A54" s="19" t="s">
        <v>39</v>
      </c>
      <c r="B54" s="24">
        <f>913983587.4</f>
        <v>913983587.39999998</v>
      </c>
      <c r="C54" s="24">
        <f>912879646.67</f>
        <v>912879646.66999996</v>
      </c>
      <c r="D54" s="24">
        <f>47403382.57</f>
        <v>47403382.57</v>
      </c>
      <c r="E54" s="24">
        <f>1630852.94</f>
        <v>1630852.94</v>
      </c>
      <c r="F54" s="24">
        <f>2494233.77</f>
        <v>2494233.77</v>
      </c>
      <c r="G54" s="24">
        <f>41961031.03</f>
        <v>41961031.030000001</v>
      </c>
      <c r="H54" s="24">
        <f>1317264.83</f>
        <v>1317264.83</v>
      </c>
      <c r="I54" s="24">
        <f>0</f>
        <v>0</v>
      </c>
      <c r="J54" s="24">
        <f>243997.66</f>
        <v>243997.66</v>
      </c>
      <c r="K54" s="24">
        <f>597837.08</f>
        <v>597837.07999999996</v>
      </c>
      <c r="L54" s="24">
        <f>414868405.88</f>
        <v>414868405.88</v>
      </c>
      <c r="M54" s="24">
        <f>438237675.48</f>
        <v>438237675.48000002</v>
      </c>
      <c r="N54" s="24">
        <f>11528348</f>
        <v>11528348</v>
      </c>
      <c r="O54" s="24">
        <f>1103940.73</f>
        <v>1103940.73</v>
      </c>
      <c r="P54" s="24">
        <f>170531.62</f>
        <v>170531.62</v>
      </c>
      <c r="Q54" s="24">
        <f>933409.11</f>
        <v>933409.11</v>
      </c>
    </row>
    <row r="55" spans="1:17" ht="36.75" customHeight="1" x14ac:dyDescent="0.2">
      <c r="A55" s="19" t="s">
        <v>40</v>
      </c>
      <c r="B55" s="24">
        <f>8422465179.11</f>
        <v>8422465179.1099997</v>
      </c>
      <c r="C55" s="24">
        <f>8396303083.46</f>
        <v>8396303083.46</v>
      </c>
      <c r="D55" s="24">
        <f>481537683.66</f>
        <v>481537683.66000003</v>
      </c>
      <c r="E55" s="24">
        <f>92575077.99</f>
        <v>92575077.989999995</v>
      </c>
      <c r="F55" s="24">
        <f>70555444.5</f>
        <v>70555444.5</v>
      </c>
      <c r="G55" s="24">
        <f>299478872.34</f>
        <v>299478872.33999997</v>
      </c>
      <c r="H55" s="24">
        <f>18928288.83</f>
        <v>18928288.829999998</v>
      </c>
      <c r="I55" s="24">
        <f>3670870.59</f>
        <v>3670870.59</v>
      </c>
      <c r="J55" s="24">
        <f>20127415.97</f>
        <v>20127415.969999999</v>
      </c>
      <c r="K55" s="24">
        <f>45074973.8</f>
        <v>45074973.799999997</v>
      </c>
      <c r="L55" s="24">
        <f>6575339992.48</f>
        <v>6575339992.4799995</v>
      </c>
      <c r="M55" s="24">
        <f>1217096053.88</f>
        <v>1217096053.8800001</v>
      </c>
      <c r="N55" s="24">
        <f>53456093.08</f>
        <v>53456093.079999998</v>
      </c>
      <c r="O55" s="24">
        <f>26162095.65</f>
        <v>26162095.649999999</v>
      </c>
      <c r="P55" s="24">
        <f>23549754.13</f>
        <v>23549754.129999999</v>
      </c>
      <c r="Q55" s="24">
        <f>2612341.52</f>
        <v>2612341.52</v>
      </c>
    </row>
    <row r="56" spans="1:17" ht="26.25" customHeight="1" x14ac:dyDescent="0.2">
      <c r="A56" s="19" t="s">
        <v>41</v>
      </c>
      <c r="B56" s="24">
        <f>4346848925.1</f>
        <v>4346848925.1000004</v>
      </c>
      <c r="C56" s="24">
        <f>4338189257.03</f>
        <v>4338189257.0299997</v>
      </c>
      <c r="D56" s="24">
        <f>578822683.84</f>
        <v>578822683.84000003</v>
      </c>
      <c r="E56" s="24">
        <f>262086613.81</f>
        <v>262086613.81</v>
      </c>
      <c r="F56" s="24">
        <f>23669471.03</f>
        <v>23669471.030000001</v>
      </c>
      <c r="G56" s="24">
        <f>289896917.12</f>
        <v>289896917.12</v>
      </c>
      <c r="H56" s="24">
        <f>3169681.88</f>
        <v>3169681.88</v>
      </c>
      <c r="I56" s="24">
        <f>136719.08</f>
        <v>136719.07999999999</v>
      </c>
      <c r="J56" s="24">
        <f>1057643.78</f>
        <v>1057643.78</v>
      </c>
      <c r="K56" s="24">
        <f>3389545.31</f>
        <v>3389545.31</v>
      </c>
      <c r="L56" s="24">
        <f>2045482792.46</f>
        <v>2045482792.46</v>
      </c>
      <c r="M56" s="24">
        <f>1444743436.92</f>
        <v>1444743436.9200001</v>
      </c>
      <c r="N56" s="24">
        <f>264556435.64</f>
        <v>264556435.63999999</v>
      </c>
      <c r="O56" s="24">
        <f>8659668.07</f>
        <v>8659668.0700000003</v>
      </c>
      <c r="P56" s="24">
        <f>1682345.69</f>
        <v>1682345.69</v>
      </c>
      <c r="Q56" s="24">
        <f>6977322.38</f>
        <v>6977322.3799999999</v>
      </c>
    </row>
    <row r="66" spans="1:13" ht="75" customHeight="1" x14ac:dyDescent="0.2">
      <c r="A66" s="30" t="str">
        <f>CONCATENATE("Informacja z wykonania budżetów miast na prawach powiatu za  ",$C$93," ",$B$94," roku     ",$B$96,"")</f>
        <v xml:space="preserve">Informacja z wykonania budżetów miast na prawach powiatu za  I Kwartał 2023 roku 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4" t="s">
        <v>3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9" spans="1:13" ht="13.5" customHeight="1" x14ac:dyDescent="0.2">
      <c r="B69" s="45" t="s">
        <v>0</v>
      </c>
      <c r="C69" s="46"/>
      <c r="D69" s="46"/>
      <c r="E69" s="47"/>
      <c r="F69" s="77" t="s">
        <v>73</v>
      </c>
      <c r="G69" s="36" t="s">
        <v>72</v>
      </c>
      <c r="H69" s="37"/>
      <c r="I69" s="37"/>
      <c r="J69" s="37"/>
      <c r="K69" s="37"/>
      <c r="L69" s="38"/>
    </row>
    <row r="70" spans="1:13" ht="13.5" customHeight="1" x14ac:dyDescent="0.2">
      <c r="B70" s="48"/>
      <c r="C70" s="49"/>
      <c r="D70" s="49"/>
      <c r="E70" s="50"/>
      <c r="F70" s="78"/>
      <c r="G70" s="80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39" t="s">
        <v>77</v>
      </c>
    </row>
    <row r="71" spans="1:13" ht="13.5" customHeight="1" x14ac:dyDescent="0.2">
      <c r="B71" s="48"/>
      <c r="C71" s="49"/>
      <c r="D71" s="49"/>
      <c r="E71" s="50"/>
      <c r="F71" s="78"/>
      <c r="G71" s="80"/>
      <c r="H71" s="32"/>
      <c r="I71" s="32"/>
      <c r="J71" s="32"/>
      <c r="K71" s="32"/>
      <c r="L71" s="39"/>
    </row>
    <row r="72" spans="1:13" ht="11.25" customHeight="1" x14ac:dyDescent="0.2">
      <c r="B72" s="48"/>
      <c r="C72" s="49"/>
      <c r="D72" s="49"/>
      <c r="E72" s="50"/>
      <c r="F72" s="78"/>
      <c r="G72" s="80"/>
      <c r="H72" s="32"/>
      <c r="I72" s="32"/>
      <c r="J72" s="32"/>
      <c r="K72" s="32"/>
      <c r="L72" s="39"/>
    </row>
    <row r="73" spans="1:13" ht="11.25" customHeight="1" x14ac:dyDescent="0.2">
      <c r="B73" s="51"/>
      <c r="C73" s="52"/>
      <c r="D73" s="52"/>
      <c r="E73" s="53"/>
      <c r="F73" s="79"/>
      <c r="G73" s="80"/>
      <c r="H73" s="32"/>
      <c r="I73" s="32"/>
      <c r="J73" s="32"/>
      <c r="K73" s="32"/>
      <c r="L73" s="39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31"/>
      <c r="C75" s="31"/>
      <c r="D75" s="31"/>
      <c r="E75" s="31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4" t="s">
        <v>57</v>
      </c>
      <c r="C76" s="55"/>
      <c r="D76" s="55"/>
      <c r="E76" s="56"/>
      <c r="F76" s="22">
        <f>1705034893.67</f>
        <v>1705034893.6700001</v>
      </c>
      <c r="G76" s="22">
        <f>214970364.73</f>
        <v>214970364.72999999</v>
      </c>
      <c r="H76" s="22">
        <f>19147000</f>
        <v>19147000</v>
      </c>
      <c r="I76" s="22">
        <f>88630751</f>
        <v>88630751</v>
      </c>
      <c r="J76" s="22">
        <f>107192613.73</f>
        <v>107192613.73</v>
      </c>
      <c r="K76" s="22">
        <f>0</f>
        <v>0</v>
      </c>
      <c r="L76" s="22">
        <f>1490064528.94</f>
        <v>1490064528.9400001</v>
      </c>
    </row>
    <row r="77" spans="1:13" ht="47.25" customHeight="1" x14ac:dyDescent="0.2">
      <c r="B77" s="54" t="s">
        <v>58</v>
      </c>
      <c r="C77" s="55"/>
      <c r="D77" s="55"/>
      <c r="E77" s="56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4" t="s">
        <v>59</v>
      </c>
      <c r="C78" s="55"/>
      <c r="D78" s="55"/>
      <c r="E78" s="56"/>
      <c r="F78" s="22">
        <f>8755956.24</f>
        <v>8755956.2400000002</v>
      </c>
      <c r="G78" s="22">
        <f>1000000</f>
        <v>1000000</v>
      </c>
      <c r="H78" s="22">
        <f>0</f>
        <v>0</v>
      </c>
      <c r="I78" s="22">
        <f>0</f>
        <v>0</v>
      </c>
      <c r="J78" s="22">
        <f>1000000</f>
        <v>1000000</v>
      </c>
      <c r="K78" s="22">
        <f>0</f>
        <v>0</v>
      </c>
      <c r="L78" s="22">
        <f>7755956.24</f>
        <v>7755956.2400000002</v>
      </c>
    </row>
    <row r="79" spans="1:13" ht="47.25" customHeight="1" x14ac:dyDescent="0.2">
      <c r="B79" s="54" t="s">
        <v>60</v>
      </c>
      <c r="C79" s="55"/>
      <c r="D79" s="55"/>
      <c r="E79" s="56"/>
      <c r="F79" s="22">
        <f>16500011.54</f>
        <v>16500011.539999999</v>
      </c>
      <c r="G79" s="22">
        <f>0</f>
        <v>0</v>
      </c>
      <c r="H79" s="22">
        <f>0</f>
        <v>0</v>
      </c>
      <c r="I79" s="22">
        <f>0</f>
        <v>0</v>
      </c>
      <c r="J79" s="22">
        <f>0</f>
        <v>0</v>
      </c>
      <c r="K79" s="22">
        <f>0</f>
        <v>0</v>
      </c>
      <c r="L79" s="22">
        <f>16500011.54</f>
        <v>16500011.539999999</v>
      </c>
    </row>
    <row r="80" spans="1:13" ht="47.25" customHeight="1" x14ac:dyDescent="0.2">
      <c r="B80" s="54" t="s">
        <v>61</v>
      </c>
      <c r="C80" s="55"/>
      <c r="D80" s="55"/>
      <c r="E80" s="56"/>
      <c r="F80" s="22">
        <f>5305981.89</f>
        <v>5305981.8899999997</v>
      </c>
      <c r="G80" s="22">
        <f>0</f>
        <v>0</v>
      </c>
      <c r="H80" s="22">
        <f>0</f>
        <v>0</v>
      </c>
      <c r="I80" s="22">
        <f>0</f>
        <v>0</v>
      </c>
      <c r="J80" s="22">
        <f>0</f>
        <v>0</v>
      </c>
      <c r="K80" s="22">
        <f>0</f>
        <v>0</v>
      </c>
      <c r="L80" s="22">
        <f>5305981.89</f>
        <v>5305981.8899999997</v>
      </c>
    </row>
    <row r="81" spans="1:13" ht="47.25" customHeight="1" x14ac:dyDescent="0.2">
      <c r="B81" s="54" t="s">
        <v>62</v>
      </c>
      <c r="C81" s="55"/>
      <c r="D81" s="55"/>
      <c r="E81" s="56"/>
      <c r="F81" s="22">
        <f>1074045.4</f>
        <v>1074045.3999999999</v>
      </c>
      <c r="G81" s="22">
        <f>834529.42</f>
        <v>834529.42</v>
      </c>
      <c r="H81" s="22">
        <f>0</f>
        <v>0</v>
      </c>
      <c r="I81" s="22">
        <f>0</f>
        <v>0</v>
      </c>
      <c r="J81" s="22">
        <f>834529.42</f>
        <v>834529.42</v>
      </c>
      <c r="K81" s="22">
        <f>0</f>
        <v>0</v>
      </c>
      <c r="L81" s="22">
        <f>239515.98</f>
        <v>239515.98</v>
      </c>
    </row>
    <row r="82" spans="1:13" ht="47.25" customHeight="1" x14ac:dyDescent="0.2">
      <c r="B82" s="54" t="s">
        <v>63</v>
      </c>
      <c r="C82" s="55"/>
      <c r="D82" s="55"/>
      <c r="E82" s="56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0" t="str">
        <f>CONCATENATE("Informacja z wykonania budżetów miast na prawach powiatu za  ",$C$93," ",$B$94," roku     ",$B$96,"")</f>
        <v xml:space="preserve">Informacja z wykonania budżetów miast na prawach powiatu za  I Kwartał 2023 roku 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36"/>
      <c r="D87" s="37"/>
      <c r="E87" s="37"/>
      <c r="F87" s="38"/>
      <c r="G87" s="36" t="s">
        <v>4</v>
      </c>
      <c r="H87" s="38"/>
      <c r="I87" s="36" t="s">
        <v>5</v>
      </c>
      <c r="J87" s="38"/>
      <c r="K87" s="5"/>
    </row>
    <row r="88" spans="1:13" ht="13.5" customHeight="1" x14ac:dyDescent="0.2">
      <c r="B88" s="6"/>
      <c r="C88" s="54" t="s">
        <v>6</v>
      </c>
      <c r="D88" s="55"/>
      <c r="E88" s="55"/>
      <c r="F88" s="56"/>
      <c r="G88" s="40">
        <f>62</f>
        <v>62</v>
      </c>
      <c r="H88" s="41"/>
      <c r="I88" s="42">
        <f>3505995078.98</f>
        <v>3505995078.98</v>
      </c>
      <c r="J88" s="43"/>
      <c r="K88" s="7"/>
    </row>
    <row r="89" spans="1:13" ht="13.5" customHeight="1" x14ac:dyDescent="0.2">
      <c r="B89" s="6"/>
      <c r="C89" s="63" t="s">
        <v>7</v>
      </c>
      <c r="D89" s="64"/>
      <c r="E89" s="64"/>
      <c r="F89" s="65"/>
      <c r="G89" s="66">
        <f>4</f>
        <v>4</v>
      </c>
      <c r="H89" s="67"/>
      <c r="I89" s="57">
        <f>-41633968.05</f>
        <v>-41633968.049999997</v>
      </c>
      <c r="J89" s="58"/>
      <c r="K89" s="7"/>
    </row>
    <row r="90" spans="1:13" ht="13.5" customHeight="1" x14ac:dyDescent="0.2">
      <c r="B90" s="6"/>
      <c r="C90" s="54" t="s">
        <v>8</v>
      </c>
      <c r="D90" s="55"/>
      <c r="E90" s="55"/>
      <c r="F90" s="56"/>
      <c r="G90" s="40">
        <f>0</f>
        <v>0</v>
      </c>
      <c r="H90" s="41"/>
      <c r="I90" s="42">
        <f>0</f>
        <v>0</v>
      </c>
      <c r="J90" s="43"/>
      <c r="K90" s="7"/>
    </row>
    <row r="93" spans="1:13" ht="13.5" customHeight="1" x14ac:dyDescent="0.2">
      <c r="A93" s="8" t="s">
        <v>9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10</v>
      </c>
      <c r="B94" s="8">
        <f>2023</f>
        <v>2023</v>
      </c>
      <c r="C94" s="9"/>
    </row>
    <row r="95" spans="1:13" ht="13.5" customHeight="1" x14ac:dyDescent="0.2">
      <c r="A95" s="8" t="s">
        <v>11</v>
      </c>
      <c r="B95" s="10" t="str">
        <f>"May 26 2023 12:00AM"</f>
        <v>May 26 2023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L7:L10"/>
    <mergeCell ref="M7:M10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B75:E75"/>
    <mergeCell ref="F75:L75"/>
    <mergeCell ref="B12:Q12"/>
    <mergeCell ref="B39:Q39"/>
    <mergeCell ref="L70:L73"/>
    <mergeCell ref="C34:N34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O6:Q6"/>
    <mergeCell ref="O7:O10"/>
    <mergeCell ref="A66:M66"/>
    <mergeCell ref="L35:L37"/>
    <mergeCell ref="P35:P37"/>
    <mergeCell ref="Q7:Q10"/>
    <mergeCell ref="N7:N10"/>
    <mergeCell ref="P7:P10"/>
    <mergeCell ref="E35:E37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2023-06-01T13:56:56Z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2023-06-01T15:42:20.9014660+02:00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GRN-0ff16bfa-5599-4a7a-b332-272ca170f610</vt:lpwstr>
  </property>
  <property fmtid="{D5CDD505-2E9C-101B-9397-08002B2CF9AE}" pid="7" name="MFHash">
    <vt:lpwstr>kDUPcpj9ovyasGAIMi8c+IQThv3uX3zReKN3KPdyN6A=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