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II kwartał\Dane ostateczne 2023.11.14\BIP MF\Zbiorówki\"/>
    </mc:Choice>
  </mc:AlternateContent>
  <xr:revisionPtr revIDLastSave="0" documentId="13_ncr:1_{49CF6839-95B1-4B60-9FED-C3145C8E0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7" i="7" l="1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86" i="7" l="1"/>
  <c r="A66" i="7"/>
  <c r="A29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<sst xmlns="http://schemas.openxmlformats.org/spreadsheetml/2006/main" count="97" uniqueCount="81">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</sst>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8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0" fontId="31" fillId="20" borderId="17" xfId="0" applyFont="1" applyFill="1" applyBorder="1" applyAlignment="1">
      <alignment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7"/>
  <sheetViews>
    <sheetView tabSelected="1" zoomScaleNormal="100" zoomScaleSheetLayoutView="50" workbookViewId="0">
      <selection activeCell="A2" sqref="A2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384" width="9.140625" style="2"/>
  </cols>
  <sheetData>
    <row r="1" spans="1:17" ht="61.5" customHeight="1" x14ac:dyDescent="0.2">
      <c r="A1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III Kwartały 2023 roku                 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3" t="s">
        <v>61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7" ht="13.5" customHeight="1" x14ac:dyDescent="0.2">
      <c r="B5" s="12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1"/>
      <c r="O5" s="11"/>
      <c r="P5" s="11"/>
      <c r="Q5" s="11"/>
    </row>
    <row r="6" spans="1:17" ht="13.5" customHeight="1" x14ac:dyDescent="0.2">
      <c r="A6" s="37" t="s">
        <v>0</v>
      </c>
      <c r="B6" s="34" t="s">
        <v>62</v>
      </c>
      <c r="C6" s="53" t="s">
        <v>66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53" t="s">
        <v>65</v>
      </c>
      <c r="P6" s="54"/>
      <c r="Q6" s="55"/>
    </row>
    <row r="7" spans="1:17" ht="13.5" customHeight="1" x14ac:dyDescent="0.2">
      <c r="A7" s="38"/>
      <c r="B7" s="35"/>
      <c r="C7" s="36" t="s">
        <v>63</v>
      </c>
      <c r="D7" s="36" t="s">
        <v>74</v>
      </c>
      <c r="E7" s="36" t="s">
        <v>67</v>
      </c>
      <c r="F7" s="36" t="s">
        <v>68</v>
      </c>
      <c r="G7" s="36" t="s">
        <v>27</v>
      </c>
      <c r="H7" s="36" t="s">
        <v>28</v>
      </c>
      <c r="I7" s="41" t="s">
        <v>64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28" t="s">
        <v>21</v>
      </c>
      <c r="P7" s="28" t="s">
        <v>22</v>
      </c>
      <c r="Q7" s="28" t="s">
        <v>23</v>
      </c>
    </row>
    <row r="8" spans="1:17" ht="13.5" customHeight="1" x14ac:dyDescent="0.2">
      <c r="A8" s="38"/>
      <c r="B8" s="35"/>
      <c r="C8" s="28"/>
      <c r="D8" s="28"/>
      <c r="E8" s="28"/>
      <c r="F8" s="28"/>
      <c r="G8" s="28"/>
      <c r="H8" s="28"/>
      <c r="I8" s="41"/>
      <c r="J8" s="28"/>
      <c r="K8" s="28"/>
      <c r="L8" s="28"/>
      <c r="M8" s="28"/>
      <c r="N8" s="35"/>
      <c r="O8" s="28"/>
      <c r="P8" s="28"/>
      <c r="Q8" s="28"/>
    </row>
    <row r="9" spans="1:17" ht="11.25" customHeight="1" x14ac:dyDescent="0.2">
      <c r="A9" s="38"/>
      <c r="B9" s="35"/>
      <c r="C9" s="28"/>
      <c r="D9" s="28"/>
      <c r="E9" s="28"/>
      <c r="F9" s="28"/>
      <c r="G9" s="28"/>
      <c r="H9" s="28"/>
      <c r="I9" s="41"/>
      <c r="J9" s="28"/>
      <c r="K9" s="28"/>
      <c r="L9" s="28"/>
      <c r="M9" s="28"/>
      <c r="N9" s="35"/>
      <c r="O9" s="28"/>
      <c r="P9" s="28"/>
      <c r="Q9" s="28"/>
    </row>
    <row r="10" spans="1:17" ht="11.25" customHeight="1" x14ac:dyDescent="0.2">
      <c r="A10" s="39"/>
      <c r="B10" s="36"/>
      <c r="C10" s="28"/>
      <c r="D10" s="28"/>
      <c r="E10" s="28"/>
      <c r="F10" s="28"/>
      <c r="G10" s="28"/>
      <c r="H10" s="28"/>
      <c r="I10" s="42"/>
      <c r="J10" s="28"/>
      <c r="K10" s="28"/>
      <c r="L10" s="28"/>
      <c r="M10" s="28"/>
      <c r="N10" s="36"/>
      <c r="O10" s="28"/>
      <c r="P10" s="28"/>
      <c r="Q10" s="28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3"/>
      <c r="B12" s="43" t="s">
        <v>77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45.75" customHeight="1" x14ac:dyDescent="0.2">
      <c r="A13" s="20" t="s">
        <v>78</v>
      </c>
      <c r="B13" s="22">
        <f>288791169.46</f>
        <v>288791169.45999998</v>
      </c>
      <c r="C13" s="22">
        <f>288791169.46</f>
        <v>288791169.45999998</v>
      </c>
      <c r="D13" s="22">
        <f>171052814.51</f>
        <v>171052814.50999999</v>
      </c>
      <c r="E13" s="22">
        <f>368928.46</f>
        <v>368928.46</v>
      </c>
      <c r="F13" s="22">
        <f>138494904.2</f>
        <v>138494904.19999999</v>
      </c>
      <c r="G13" s="22">
        <f>32188981.85</f>
        <v>32188981.850000001</v>
      </c>
      <c r="H13" s="22">
        <f>0</f>
        <v>0</v>
      </c>
      <c r="I13" s="22">
        <f>0</f>
        <v>0</v>
      </c>
      <c r="J13" s="22">
        <f>106306329.43</f>
        <v>106306329.43000001</v>
      </c>
      <c r="K13" s="22">
        <f>3385046.69</f>
        <v>3385046.69</v>
      </c>
      <c r="L13" s="22">
        <f>8001411.88</f>
        <v>8001411.8799999999</v>
      </c>
      <c r="M13" s="22">
        <f>45566.95</f>
        <v>45566.95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 spans="1:17" ht="30.75" customHeight="1" x14ac:dyDescent="0.2">
      <c r="A14" s="20" t="s">
        <v>45</v>
      </c>
      <c r="B14" s="22">
        <f>0</f>
        <v>0</v>
      </c>
      <c r="C14" s="22">
        <f>0</f>
        <v>0</v>
      </c>
      <c r="D14" s="22">
        <f>0</f>
        <v>0</v>
      </c>
      <c r="E14" s="22">
        <f>0</f>
        <v>0</v>
      </c>
      <c r="F14" s="22">
        <f>0</f>
        <v>0</v>
      </c>
      <c r="G14" s="22">
        <f>0</f>
        <v>0</v>
      </c>
      <c r="H14" s="22">
        <f>0</f>
        <v>0</v>
      </c>
      <c r="I14" s="22">
        <f>0</f>
        <v>0</v>
      </c>
      <c r="J14" s="22">
        <f>0</f>
        <v>0</v>
      </c>
      <c r="K14" s="22">
        <f>0</f>
        <v>0</v>
      </c>
      <c r="L14" s="22">
        <f>0</f>
        <v>0</v>
      </c>
      <c r="M14" s="22">
        <f>0</f>
        <v>0</v>
      </c>
      <c r="N14" s="22">
        <f>0</f>
        <v>0</v>
      </c>
      <c r="O14" s="22">
        <f>0</f>
        <v>0</v>
      </c>
      <c r="P14" s="22">
        <f>0</f>
        <v>0</v>
      </c>
      <c r="Q14" s="22">
        <f>0</f>
        <v>0</v>
      </c>
    </row>
    <row r="15" spans="1:17" ht="24.75" customHeight="1" x14ac:dyDescent="0.2">
      <c r="A15" s="18" t="s">
        <v>46</v>
      </c>
      <c r="B15" s="23">
        <f>0</f>
        <v>0</v>
      </c>
      <c r="C15" s="23">
        <f>0</f>
        <v>0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f>0</f>
        <v>0</v>
      </c>
      <c r="Q15" s="23">
        <f>0</f>
        <v>0</v>
      </c>
    </row>
    <row r="16" spans="1:17" ht="24.75" customHeight="1" x14ac:dyDescent="0.2">
      <c r="A16" s="18" t="s">
        <v>47</v>
      </c>
      <c r="B16" s="23">
        <f>0</f>
        <v>0</v>
      </c>
      <c r="C16" s="23">
        <f>0</f>
        <v>0</v>
      </c>
      <c r="D16" s="23">
        <f>0</f>
        <v>0</v>
      </c>
      <c r="E16" s="23">
        <f>0</f>
        <v>0</v>
      </c>
      <c r="F16" s="23">
        <f>0</f>
        <v>0</v>
      </c>
      <c r="G16" s="23">
        <f>0</f>
        <v>0</v>
      </c>
      <c r="H16" s="23">
        <f>0</f>
        <v>0</v>
      </c>
      <c r="I16" s="23">
        <f>0</f>
        <v>0</v>
      </c>
      <c r="J16" s="23">
        <f>0</f>
        <v>0</v>
      </c>
      <c r="K16" s="23">
        <f>0</f>
        <v>0</v>
      </c>
      <c r="L16" s="23">
        <f>0</f>
        <v>0</v>
      </c>
      <c r="M16" s="23">
        <f>0</f>
        <v>0</v>
      </c>
      <c r="N16" s="23">
        <f>0</f>
        <v>0</v>
      </c>
      <c r="O16" s="23">
        <f>0</f>
        <v>0</v>
      </c>
      <c r="P16" s="23">
        <f>0</f>
        <v>0</v>
      </c>
      <c r="Q16" s="23">
        <f>0</f>
        <v>0</v>
      </c>
    </row>
    <row r="17" spans="1:17" ht="32.25" customHeight="1" x14ac:dyDescent="0.2">
      <c r="A17" s="20" t="s">
        <v>48</v>
      </c>
      <c r="B17" s="22">
        <f>280919275.77</f>
        <v>280919275.76999998</v>
      </c>
      <c r="C17" s="22">
        <f>280919275.77</f>
        <v>280919275.76999998</v>
      </c>
      <c r="D17" s="22">
        <f>171052814.51</f>
        <v>171052814.50999999</v>
      </c>
      <c r="E17" s="22">
        <f>368928.46</f>
        <v>368928.46</v>
      </c>
      <c r="F17" s="22">
        <f>138494904.2</f>
        <v>138494904.19999999</v>
      </c>
      <c r="G17" s="22">
        <f>32188981.85</f>
        <v>32188981.850000001</v>
      </c>
      <c r="H17" s="22">
        <f>0</f>
        <v>0</v>
      </c>
      <c r="I17" s="22">
        <f>0</f>
        <v>0</v>
      </c>
      <c r="J17" s="22">
        <f>106306329.43</f>
        <v>106306329.43000001</v>
      </c>
      <c r="K17" s="22">
        <f>3385046.69</f>
        <v>3385046.69</v>
      </c>
      <c r="L17" s="22">
        <f>175085.14</f>
        <v>175085.14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 spans="1:17" ht="24.75" customHeight="1" x14ac:dyDescent="0.2">
      <c r="A18" s="18" t="s">
        <v>49</v>
      </c>
      <c r="B18" s="23">
        <f>2439625.07</f>
        <v>2439625.0699999998</v>
      </c>
      <c r="C18" s="23">
        <f>2439625.07</f>
        <v>2439625.0699999998</v>
      </c>
      <c r="D18" s="23">
        <f>712353</f>
        <v>712353</v>
      </c>
      <c r="E18" s="23">
        <f>0</f>
        <v>0</v>
      </c>
      <c r="F18" s="23">
        <f>0</f>
        <v>0</v>
      </c>
      <c r="G18" s="23">
        <f>712353</f>
        <v>712353</v>
      </c>
      <c r="H18" s="23">
        <f>0</f>
        <v>0</v>
      </c>
      <c r="I18" s="23">
        <f>0</f>
        <v>0</v>
      </c>
      <c r="J18" s="23">
        <f>1552186.93</f>
        <v>1552186.93</v>
      </c>
      <c r="K18" s="23">
        <f>0</f>
        <v>0</v>
      </c>
      <c r="L18" s="23">
        <f>175085.14</f>
        <v>175085.14</v>
      </c>
      <c r="M18" s="23">
        <f>0</f>
        <v>0</v>
      </c>
      <c r="N18" s="23">
        <f>0</f>
        <v>0</v>
      </c>
      <c r="O18" s="23">
        <f>0</f>
        <v>0</v>
      </c>
      <c r="P18" s="23">
        <f>0</f>
        <v>0</v>
      </c>
      <c r="Q18" s="23">
        <f>0</f>
        <v>0</v>
      </c>
    </row>
    <row r="19" spans="1:17" ht="24.75" customHeight="1" x14ac:dyDescent="0.2">
      <c r="A19" s="18" t="s">
        <v>50</v>
      </c>
      <c r="B19" s="23">
        <f>278479650.7</f>
        <v>278479650.69999999</v>
      </c>
      <c r="C19" s="23">
        <f>278479650.7</f>
        <v>278479650.69999999</v>
      </c>
      <c r="D19" s="23">
        <f>170340461.51</f>
        <v>170340461.50999999</v>
      </c>
      <c r="E19" s="23">
        <f>368928.46</f>
        <v>368928.46</v>
      </c>
      <c r="F19" s="23">
        <f>138494904.2</f>
        <v>138494904.19999999</v>
      </c>
      <c r="G19" s="23">
        <f>31476628.85</f>
        <v>31476628.850000001</v>
      </c>
      <c r="H19" s="23">
        <f>0</f>
        <v>0</v>
      </c>
      <c r="I19" s="23">
        <f>0</f>
        <v>0</v>
      </c>
      <c r="J19" s="23">
        <f>104754142.5</f>
        <v>104754142.5</v>
      </c>
      <c r="K19" s="23">
        <f>3385046.69</f>
        <v>3385046.69</v>
      </c>
      <c r="L19" s="23">
        <f>0</f>
        <v>0</v>
      </c>
      <c r="M19" s="23">
        <f>0</f>
        <v>0</v>
      </c>
      <c r="N19" s="23">
        <f>0</f>
        <v>0</v>
      </c>
      <c r="O19" s="23">
        <f>0</f>
        <v>0</v>
      </c>
      <c r="P19" s="23">
        <f>0</f>
        <v>0</v>
      </c>
      <c r="Q19" s="23">
        <f>0</f>
        <v>0</v>
      </c>
    </row>
    <row r="20" spans="1:17" ht="24.75" customHeight="1" x14ac:dyDescent="0.2">
      <c r="A20" s="20" t="s">
        <v>51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9.25" customHeight="1" x14ac:dyDescent="0.2">
      <c r="A21" s="20" t="s">
        <v>79</v>
      </c>
      <c r="B21" s="22">
        <f>7871893.69</f>
        <v>7871893.6900000004</v>
      </c>
      <c r="C21" s="22">
        <f>7871893.69</f>
        <v>7871893.6900000004</v>
      </c>
      <c r="D21" s="22">
        <f>0</f>
        <v>0</v>
      </c>
      <c r="E21" s="22">
        <f>0</f>
        <v>0</v>
      </c>
      <c r="F21" s="22">
        <f>0</f>
        <v>0</v>
      </c>
      <c r="G21" s="22">
        <f>0</f>
        <v>0</v>
      </c>
      <c r="H21" s="22">
        <f>0</f>
        <v>0</v>
      </c>
      <c r="I21" s="22">
        <f>0</f>
        <v>0</v>
      </c>
      <c r="J21" s="22">
        <f>0</f>
        <v>0</v>
      </c>
      <c r="K21" s="22">
        <f>0</f>
        <v>0</v>
      </c>
      <c r="L21" s="22">
        <f>7826326.74</f>
        <v>7826326.7400000002</v>
      </c>
      <c r="M21" s="22">
        <f>45566.95</f>
        <v>45566.95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 spans="1:17" ht="24.75" customHeight="1" x14ac:dyDescent="0.2">
      <c r="A22" s="18" t="s">
        <v>52</v>
      </c>
      <c r="B22" s="23">
        <f>7871893.69</f>
        <v>7871893.6900000004</v>
      </c>
      <c r="C22" s="23">
        <f>7871893.69</f>
        <v>7871893.6900000004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3">
        <f>0</f>
        <v>0</v>
      </c>
      <c r="I22" s="23">
        <f>0</f>
        <v>0</v>
      </c>
      <c r="J22" s="23">
        <f>0</f>
        <v>0</v>
      </c>
      <c r="K22" s="23">
        <f>0</f>
        <v>0</v>
      </c>
      <c r="L22" s="23">
        <f>7826326.74</f>
        <v>7826326.7400000002</v>
      </c>
      <c r="M22" s="23">
        <f>45566.95</f>
        <v>45566.95</v>
      </c>
      <c r="N22" s="23">
        <f>0</f>
        <v>0</v>
      </c>
      <c r="O22" s="23">
        <f>0</f>
        <v>0</v>
      </c>
      <c r="P22" s="23">
        <f>0</f>
        <v>0</v>
      </c>
      <c r="Q22" s="23">
        <f>0</f>
        <v>0</v>
      </c>
    </row>
    <row r="23" spans="1:17" ht="24.75" customHeight="1" x14ac:dyDescent="0.2">
      <c r="A23" s="18" t="s">
        <v>53</v>
      </c>
      <c r="B23" s="23">
        <f>0</f>
        <v>0</v>
      </c>
      <c r="C23" s="23">
        <f>0</f>
        <v>0</v>
      </c>
      <c r="D23" s="23">
        <f>0</f>
        <v>0</v>
      </c>
      <c r="E23" s="23">
        <f>0</f>
        <v>0</v>
      </c>
      <c r="F23" s="23">
        <f>0</f>
        <v>0</v>
      </c>
      <c r="G23" s="23">
        <f>0</f>
        <v>0</v>
      </c>
      <c r="H23" s="23">
        <f>0</f>
        <v>0</v>
      </c>
      <c r="I23" s="23">
        <f>0</f>
        <v>0</v>
      </c>
      <c r="J23" s="23">
        <f>0</f>
        <v>0</v>
      </c>
      <c r="K23" s="23">
        <f>0</f>
        <v>0</v>
      </c>
      <c r="L23" s="23">
        <f>0</f>
        <v>0</v>
      </c>
      <c r="M23" s="23">
        <f>0</f>
        <v>0</v>
      </c>
      <c r="N23" s="23">
        <f>0</f>
        <v>0</v>
      </c>
      <c r="O23" s="23">
        <f>0</f>
        <v>0</v>
      </c>
      <c r="P23" s="23">
        <f>0</f>
        <v>0</v>
      </c>
      <c r="Q23" s="23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45.75" customHeight="1" x14ac:dyDescent="0.2">
      <c r="A29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III Kwartały 2023 roku                 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1" spans="1:17" ht="13.5" customHeight="1" x14ac:dyDescent="0.2">
      <c r="A31" s="33" t="s">
        <v>11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3" spans="1:17" ht="13.5" customHeight="1" x14ac:dyDescent="0.2">
      <c r="A33" s="37" t="s">
        <v>0</v>
      </c>
      <c r="B33" s="34" t="s">
        <v>12</v>
      </c>
      <c r="C33" s="30" t="s">
        <v>14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  <c r="O33" s="30" t="s">
        <v>24</v>
      </c>
      <c r="P33" s="31"/>
      <c r="Q33" s="32"/>
    </row>
    <row r="34" spans="1:17" ht="13.5" customHeight="1" x14ac:dyDescent="0.2">
      <c r="A34" s="38"/>
      <c r="B34" s="35"/>
      <c r="C34" s="35" t="s">
        <v>13</v>
      </c>
      <c r="D34" s="28" t="s">
        <v>15</v>
      </c>
      <c r="E34" s="28" t="s">
        <v>25</v>
      </c>
      <c r="F34" s="28" t="s">
        <v>26</v>
      </c>
      <c r="G34" s="28" t="s">
        <v>71</v>
      </c>
      <c r="H34" s="28" t="s">
        <v>28</v>
      </c>
      <c r="I34" s="28" t="s">
        <v>1</v>
      </c>
      <c r="J34" s="28" t="s">
        <v>16</v>
      </c>
      <c r="K34" s="28" t="s">
        <v>17</v>
      </c>
      <c r="L34" s="28" t="s">
        <v>18</v>
      </c>
      <c r="M34" s="28" t="s">
        <v>19</v>
      </c>
      <c r="N34" s="85" t="s">
        <v>20</v>
      </c>
      <c r="O34" s="28" t="s">
        <v>21</v>
      </c>
      <c r="P34" s="28" t="s">
        <v>22</v>
      </c>
      <c r="Q34" s="34" t="s">
        <v>23</v>
      </c>
    </row>
    <row r="35" spans="1:17" ht="13.5" customHeight="1" x14ac:dyDescent="0.2">
      <c r="A35" s="38"/>
      <c r="B35" s="35"/>
      <c r="C35" s="3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85"/>
      <c r="O35" s="28"/>
      <c r="P35" s="28"/>
      <c r="Q35" s="35"/>
    </row>
    <row r="36" spans="1:17" ht="11.25" customHeight="1" x14ac:dyDescent="0.2">
      <c r="A36" s="38"/>
      <c r="B36" s="35"/>
      <c r="C36" s="3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85"/>
      <c r="O36" s="28"/>
      <c r="P36" s="28"/>
      <c r="Q36" s="35"/>
    </row>
    <row r="37" spans="1:17" ht="11.25" customHeight="1" x14ac:dyDescent="0.2">
      <c r="A37" s="39"/>
      <c r="B37" s="36"/>
      <c r="C37" s="3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85"/>
      <c r="O37" s="28"/>
      <c r="P37" s="28"/>
      <c r="Q37" s="36"/>
    </row>
    <row r="38" spans="1:17" ht="11.2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3.5" customHeight="1" x14ac:dyDescent="0.2">
      <c r="A39" s="14"/>
      <c r="B39" s="46" t="s">
        <v>77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1:17" ht="33.75" customHeight="1" x14ac:dyDescent="0.2">
      <c r="A40" s="21" t="s">
        <v>40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21.75" customHeight="1" x14ac:dyDescent="0.2">
      <c r="A41" s="19" t="s">
        <v>29</v>
      </c>
      <c r="B41" s="25">
        <f>0</f>
        <v>0</v>
      </c>
      <c r="C41" s="25">
        <f>0</f>
        <v>0</v>
      </c>
      <c r="D41" s="25">
        <f>0</f>
        <v>0</v>
      </c>
      <c r="E41" s="25">
        <f>0</f>
        <v>0</v>
      </c>
      <c r="F41" s="25">
        <f>0</f>
        <v>0</v>
      </c>
      <c r="G41" s="25">
        <f>0</f>
        <v>0</v>
      </c>
      <c r="H41" s="25">
        <f>0</f>
        <v>0</v>
      </c>
      <c r="I41" s="25">
        <f>0</f>
        <v>0</v>
      </c>
      <c r="J41" s="25">
        <f>0</f>
        <v>0</v>
      </c>
      <c r="K41" s="25">
        <f>0</f>
        <v>0</v>
      </c>
      <c r="L41" s="25">
        <f>0</f>
        <v>0</v>
      </c>
      <c r="M41" s="25">
        <f>0</f>
        <v>0</v>
      </c>
      <c r="N41" s="25">
        <f>0</f>
        <v>0</v>
      </c>
      <c r="O41" s="25">
        <f>0</f>
        <v>0</v>
      </c>
      <c r="P41" s="25">
        <f>0</f>
        <v>0</v>
      </c>
      <c r="Q41" s="25">
        <f>0</f>
        <v>0</v>
      </c>
    </row>
    <row r="42" spans="1:17" ht="21.75" customHeight="1" x14ac:dyDescent="0.2">
      <c r="A42" s="19" t="s">
        <v>30</v>
      </c>
      <c r="B42" s="25">
        <f>0</f>
        <v>0</v>
      </c>
      <c r="C42" s="25">
        <f>0</f>
        <v>0</v>
      </c>
      <c r="D42" s="25">
        <f>0</f>
        <v>0</v>
      </c>
      <c r="E42" s="25">
        <f>0</f>
        <v>0</v>
      </c>
      <c r="F42" s="25">
        <f>0</f>
        <v>0</v>
      </c>
      <c r="G42" s="25">
        <f>0</f>
        <v>0</v>
      </c>
      <c r="H42" s="25">
        <f>0</f>
        <v>0</v>
      </c>
      <c r="I42" s="25">
        <f>0</f>
        <v>0</v>
      </c>
      <c r="J42" s="25">
        <f>0</f>
        <v>0</v>
      </c>
      <c r="K42" s="25">
        <f>0</f>
        <v>0</v>
      </c>
      <c r="L42" s="25">
        <f>0</f>
        <v>0</v>
      </c>
      <c r="M42" s="25">
        <f>0</f>
        <v>0</v>
      </c>
      <c r="N42" s="25">
        <f>0</f>
        <v>0</v>
      </c>
      <c r="O42" s="25">
        <f>0</f>
        <v>0</v>
      </c>
      <c r="P42" s="25">
        <f>0</f>
        <v>0</v>
      </c>
      <c r="Q42" s="25">
        <f>0</f>
        <v>0</v>
      </c>
    </row>
    <row r="43" spans="1:17" ht="33.75" customHeight="1" x14ac:dyDescent="0.2">
      <c r="A43" s="21" t="s">
        <v>41</v>
      </c>
      <c r="B43" s="24">
        <f>0</f>
        <v>0</v>
      </c>
      <c r="C43" s="24">
        <f>0</f>
        <v>0</v>
      </c>
      <c r="D43" s="24">
        <f>0</f>
        <v>0</v>
      </c>
      <c r="E43" s="24">
        <f>0</f>
        <v>0</v>
      </c>
      <c r="F43" s="24">
        <f>0</f>
        <v>0</v>
      </c>
      <c r="G43" s="24">
        <f>0</f>
        <v>0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0</f>
        <v>0</v>
      </c>
      <c r="M43" s="24">
        <f>0</f>
        <v>0</v>
      </c>
      <c r="N43" s="24">
        <f>0</f>
        <v>0</v>
      </c>
      <c r="O43" s="24">
        <f>0</f>
        <v>0</v>
      </c>
      <c r="P43" s="24">
        <f>0</f>
        <v>0</v>
      </c>
      <c r="Q43" s="24">
        <f>0</f>
        <v>0</v>
      </c>
    </row>
    <row r="44" spans="1:17" ht="21.75" customHeight="1" x14ac:dyDescent="0.2">
      <c r="A44" s="19" t="s">
        <v>31</v>
      </c>
      <c r="B44" s="25">
        <f>0</f>
        <v>0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5">
        <f>0</f>
        <v>0</v>
      </c>
      <c r="I44" s="25">
        <f>0</f>
        <v>0</v>
      </c>
      <c r="J44" s="25">
        <f>0</f>
        <v>0</v>
      </c>
      <c r="K44" s="25">
        <f>0</f>
        <v>0</v>
      </c>
      <c r="L44" s="25">
        <f>0</f>
        <v>0</v>
      </c>
      <c r="M44" s="25">
        <f>0</f>
        <v>0</v>
      </c>
      <c r="N44" s="25">
        <f>0</f>
        <v>0</v>
      </c>
      <c r="O44" s="25">
        <f>0</f>
        <v>0</v>
      </c>
      <c r="P44" s="25">
        <f>0</f>
        <v>0</v>
      </c>
      <c r="Q44" s="25">
        <f>0</f>
        <v>0</v>
      </c>
    </row>
    <row r="45" spans="1:17" ht="21.75" customHeight="1" x14ac:dyDescent="0.2">
      <c r="A45" s="19" t="s">
        <v>32</v>
      </c>
      <c r="B45" s="25">
        <f>0</f>
        <v>0</v>
      </c>
      <c r="C45" s="25">
        <f>0</f>
        <v>0</v>
      </c>
      <c r="D45" s="25">
        <f>0</f>
        <v>0</v>
      </c>
      <c r="E45" s="25">
        <f>0</f>
        <v>0</v>
      </c>
      <c r="F45" s="25">
        <f>0</f>
        <v>0</v>
      </c>
      <c r="G45" s="25">
        <f>0</f>
        <v>0</v>
      </c>
      <c r="H45" s="25">
        <f>0</f>
        <v>0</v>
      </c>
      <c r="I45" s="25">
        <f>0</f>
        <v>0</v>
      </c>
      <c r="J45" s="25">
        <f>0</f>
        <v>0</v>
      </c>
      <c r="K45" s="25">
        <f>0</f>
        <v>0</v>
      </c>
      <c r="L45" s="25">
        <f>0</f>
        <v>0</v>
      </c>
      <c r="M45" s="25">
        <f>0</f>
        <v>0</v>
      </c>
      <c r="N45" s="25">
        <f>0</f>
        <v>0</v>
      </c>
      <c r="O45" s="25">
        <f>0</f>
        <v>0</v>
      </c>
      <c r="P45" s="25">
        <f>0</f>
        <v>0</v>
      </c>
      <c r="Q45" s="25">
        <f>0</f>
        <v>0</v>
      </c>
    </row>
    <row r="46" spans="1:17" ht="38.25" customHeight="1" x14ac:dyDescent="0.2">
      <c r="A46" s="21" t="s">
        <v>42</v>
      </c>
      <c r="B46" s="24">
        <f>1162313587.85</f>
        <v>1162313587.8499999</v>
      </c>
      <c r="C46" s="24">
        <f>1162313587.85</f>
        <v>1162313587.8499999</v>
      </c>
      <c r="D46" s="24">
        <f>1257358.06</f>
        <v>1257358.06</v>
      </c>
      <c r="E46" s="24">
        <f>0</f>
        <v>0</v>
      </c>
      <c r="F46" s="24">
        <f>0</f>
        <v>0</v>
      </c>
      <c r="G46" s="24">
        <f>1127846.11</f>
        <v>1127846.1100000001</v>
      </c>
      <c r="H46" s="24">
        <f>129511.95</f>
        <v>129511.95</v>
      </c>
      <c r="I46" s="24">
        <f>0</f>
        <v>0</v>
      </c>
      <c r="J46" s="24">
        <f>1160833409.4</f>
        <v>1160833409.4000001</v>
      </c>
      <c r="K46" s="24">
        <f>507.7</f>
        <v>507.7</v>
      </c>
      <c r="L46" s="24">
        <f>222262.69</f>
        <v>222262.69</v>
      </c>
      <c r="M46" s="24">
        <f>50</f>
        <v>50</v>
      </c>
      <c r="N46" s="24">
        <f>0</f>
        <v>0</v>
      </c>
      <c r="O46" s="24">
        <f>0</f>
        <v>0</v>
      </c>
      <c r="P46" s="24">
        <f>0</f>
        <v>0</v>
      </c>
      <c r="Q46" s="24">
        <f>0</f>
        <v>0</v>
      </c>
    </row>
    <row r="47" spans="1:17" ht="21.75" customHeight="1" x14ac:dyDescent="0.2">
      <c r="A47" s="19" t="s">
        <v>33</v>
      </c>
      <c r="B47" s="25">
        <f>977378.63</f>
        <v>977378.63</v>
      </c>
      <c r="C47" s="25">
        <f>977378.63</f>
        <v>977378.63</v>
      </c>
      <c r="D47" s="25">
        <f>977378.63</f>
        <v>977378.63</v>
      </c>
      <c r="E47" s="25">
        <f>0</f>
        <v>0</v>
      </c>
      <c r="F47" s="25">
        <f>0</f>
        <v>0</v>
      </c>
      <c r="G47" s="25">
        <f>977378.63</f>
        <v>977378.63</v>
      </c>
      <c r="H47" s="25">
        <f>0</f>
        <v>0</v>
      </c>
      <c r="I47" s="25">
        <f>0</f>
        <v>0</v>
      </c>
      <c r="J47" s="25">
        <f>0</f>
        <v>0</v>
      </c>
      <c r="K47" s="25">
        <f>0</f>
        <v>0</v>
      </c>
      <c r="L47" s="25">
        <f>0</f>
        <v>0</v>
      </c>
      <c r="M47" s="25">
        <f>0</f>
        <v>0</v>
      </c>
      <c r="N47" s="25">
        <f>0</f>
        <v>0</v>
      </c>
      <c r="O47" s="25">
        <f>0</f>
        <v>0</v>
      </c>
      <c r="P47" s="25">
        <f>0</f>
        <v>0</v>
      </c>
      <c r="Q47" s="25">
        <f>0</f>
        <v>0</v>
      </c>
    </row>
    <row r="48" spans="1:17" ht="21.75" customHeight="1" x14ac:dyDescent="0.2">
      <c r="A48" s="19" t="s">
        <v>34</v>
      </c>
      <c r="B48" s="25">
        <f>908161543.1</f>
        <v>908161543.10000002</v>
      </c>
      <c r="C48" s="25">
        <f>908161543.1</f>
        <v>908161543.10000002</v>
      </c>
      <c r="D48" s="25">
        <f>233636.95</f>
        <v>233636.95</v>
      </c>
      <c r="E48" s="25">
        <f>0</f>
        <v>0</v>
      </c>
      <c r="F48" s="25">
        <f>0</f>
        <v>0</v>
      </c>
      <c r="G48" s="25">
        <f>104125</f>
        <v>104125</v>
      </c>
      <c r="H48" s="25">
        <f>129511.95</f>
        <v>129511.95</v>
      </c>
      <c r="I48" s="25">
        <f>0</f>
        <v>0</v>
      </c>
      <c r="J48" s="25">
        <f>907927348.45</f>
        <v>907927348.45000005</v>
      </c>
      <c r="K48" s="25">
        <f>507.7</f>
        <v>507.7</v>
      </c>
      <c r="L48" s="25">
        <f>0</f>
        <v>0</v>
      </c>
      <c r="M48" s="25">
        <f>50</f>
        <v>50</v>
      </c>
      <c r="N48" s="25">
        <f>0</f>
        <v>0</v>
      </c>
      <c r="O48" s="25">
        <f>0</f>
        <v>0</v>
      </c>
      <c r="P48" s="25">
        <f>0</f>
        <v>0</v>
      </c>
      <c r="Q48" s="25">
        <f>0</f>
        <v>0</v>
      </c>
    </row>
    <row r="49" spans="1:17" ht="21.75" customHeight="1" x14ac:dyDescent="0.2">
      <c r="A49" s="19" t="s">
        <v>35</v>
      </c>
      <c r="B49" s="25">
        <f>253174666.12</f>
        <v>253174666.12</v>
      </c>
      <c r="C49" s="25">
        <f>253174666.12</f>
        <v>253174666.12</v>
      </c>
      <c r="D49" s="25">
        <f>46342.48</f>
        <v>46342.48</v>
      </c>
      <c r="E49" s="25">
        <f>0</f>
        <v>0</v>
      </c>
      <c r="F49" s="25">
        <f>0</f>
        <v>0</v>
      </c>
      <c r="G49" s="25">
        <f>46342.48</f>
        <v>46342.48</v>
      </c>
      <c r="H49" s="25">
        <f>0</f>
        <v>0</v>
      </c>
      <c r="I49" s="25">
        <f>0</f>
        <v>0</v>
      </c>
      <c r="J49" s="25">
        <f>252906060.95</f>
        <v>252906060.94999999</v>
      </c>
      <c r="K49" s="25">
        <f>0</f>
        <v>0</v>
      </c>
      <c r="L49" s="25">
        <f>222262.69</f>
        <v>222262.69</v>
      </c>
      <c r="M49" s="25">
        <f>0</f>
        <v>0</v>
      </c>
      <c r="N49" s="25">
        <f>0</f>
        <v>0</v>
      </c>
      <c r="O49" s="25">
        <f>0</f>
        <v>0</v>
      </c>
      <c r="P49" s="25">
        <f>0</f>
        <v>0</v>
      </c>
      <c r="Q49" s="25">
        <f>0</f>
        <v>0</v>
      </c>
    </row>
    <row r="50" spans="1:17" ht="38.25" customHeight="1" x14ac:dyDescent="0.2">
      <c r="A50" s="21" t="s">
        <v>43</v>
      </c>
      <c r="B50" s="24">
        <f>466970501.27</f>
        <v>466970501.26999998</v>
      </c>
      <c r="C50" s="24">
        <f>466970501.27</f>
        <v>466970501.26999998</v>
      </c>
      <c r="D50" s="24">
        <f>6617121.28</f>
        <v>6617121.2800000003</v>
      </c>
      <c r="E50" s="24">
        <f>97086.73</f>
        <v>97086.73</v>
      </c>
      <c r="F50" s="24">
        <f>1737647.81</f>
        <v>1737647.81</v>
      </c>
      <c r="G50" s="24">
        <f>4779910.09</f>
        <v>4779910.09</v>
      </c>
      <c r="H50" s="24">
        <f>2476.65</f>
        <v>2476.65</v>
      </c>
      <c r="I50" s="24">
        <f>0</f>
        <v>0</v>
      </c>
      <c r="J50" s="24">
        <f>895.7</f>
        <v>895.7</v>
      </c>
      <c r="K50" s="24">
        <f>12228.28</f>
        <v>12228.28</v>
      </c>
      <c r="L50" s="24">
        <f>29483900.38</f>
        <v>29483900.379999999</v>
      </c>
      <c r="M50" s="24">
        <f>429580100.17</f>
        <v>429580100.17000002</v>
      </c>
      <c r="N50" s="24">
        <f>1276255.46</f>
        <v>1276255.46</v>
      </c>
      <c r="O50" s="24">
        <f>0</f>
        <v>0</v>
      </c>
      <c r="P50" s="24">
        <f>0</f>
        <v>0</v>
      </c>
      <c r="Q50" s="24">
        <f>0</f>
        <v>0</v>
      </c>
    </row>
    <row r="51" spans="1:17" ht="32.25" customHeight="1" x14ac:dyDescent="0.2">
      <c r="A51" s="19" t="s">
        <v>36</v>
      </c>
      <c r="B51" s="25">
        <f>14722622.31</f>
        <v>14722622.310000001</v>
      </c>
      <c r="C51" s="25">
        <f>14722622.31</f>
        <v>14722622.310000001</v>
      </c>
      <c r="D51" s="25">
        <f>4079358.86</f>
        <v>4079358.86</v>
      </c>
      <c r="E51" s="25">
        <f>94301.83</f>
        <v>94301.83</v>
      </c>
      <c r="F51" s="25">
        <f>11215.55</f>
        <v>11215.55</v>
      </c>
      <c r="G51" s="25">
        <f>3973841.48</f>
        <v>3973841.48</v>
      </c>
      <c r="H51" s="25">
        <f>0</f>
        <v>0</v>
      </c>
      <c r="I51" s="25">
        <f>0</f>
        <v>0</v>
      </c>
      <c r="J51" s="25">
        <f>0</f>
        <v>0</v>
      </c>
      <c r="K51" s="25">
        <f>3498.75</f>
        <v>3498.75</v>
      </c>
      <c r="L51" s="25">
        <f>3668511.65</f>
        <v>3668511.65</v>
      </c>
      <c r="M51" s="25">
        <f>6966014.58</f>
        <v>6966014.5800000001</v>
      </c>
      <c r="N51" s="25">
        <f>5238.47</f>
        <v>5238.47</v>
      </c>
      <c r="O51" s="25">
        <f>0</f>
        <v>0</v>
      </c>
      <c r="P51" s="25">
        <f>0</f>
        <v>0</v>
      </c>
      <c r="Q51" s="25">
        <f>0</f>
        <v>0</v>
      </c>
    </row>
    <row r="52" spans="1:17" ht="21.75" customHeight="1" x14ac:dyDescent="0.2">
      <c r="A52" s="19" t="s">
        <v>37</v>
      </c>
      <c r="B52" s="25">
        <f>452247878.96</f>
        <v>452247878.95999998</v>
      </c>
      <c r="C52" s="25">
        <f>452247878.96</f>
        <v>452247878.95999998</v>
      </c>
      <c r="D52" s="25">
        <f>2537762.42</f>
        <v>2537762.42</v>
      </c>
      <c r="E52" s="25">
        <f>2784.9</f>
        <v>2784.9</v>
      </c>
      <c r="F52" s="25">
        <f>1726432.26</f>
        <v>1726432.26</v>
      </c>
      <c r="G52" s="25">
        <f>806068.61</f>
        <v>806068.61</v>
      </c>
      <c r="H52" s="25">
        <f>2476.65</f>
        <v>2476.65</v>
      </c>
      <c r="I52" s="25">
        <f>0</f>
        <v>0</v>
      </c>
      <c r="J52" s="25">
        <f>895.7</f>
        <v>895.7</v>
      </c>
      <c r="K52" s="25">
        <f>8729.53</f>
        <v>8729.5300000000007</v>
      </c>
      <c r="L52" s="25">
        <f>25815388.73</f>
        <v>25815388.73</v>
      </c>
      <c r="M52" s="25">
        <f>422614085.59</f>
        <v>422614085.58999997</v>
      </c>
      <c r="N52" s="25">
        <f>1271016.99</f>
        <v>1271016.99</v>
      </c>
      <c r="O52" s="25">
        <f>0</f>
        <v>0</v>
      </c>
      <c r="P52" s="25">
        <f>0</f>
        <v>0</v>
      </c>
      <c r="Q52" s="25">
        <f>0</f>
        <v>0</v>
      </c>
    </row>
    <row r="53" spans="1:17" ht="38.25" customHeight="1" x14ac:dyDescent="0.2">
      <c r="A53" s="21" t="s">
        <v>44</v>
      </c>
      <c r="B53" s="24">
        <f>662745158.58</f>
        <v>662745158.58000004</v>
      </c>
      <c r="C53" s="24">
        <f>662745158.58</f>
        <v>662745158.58000004</v>
      </c>
      <c r="D53" s="24">
        <f>497047805.06</f>
        <v>497047805.06</v>
      </c>
      <c r="E53" s="24">
        <f>56079410.08</f>
        <v>56079410.079999998</v>
      </c>
      <c r="F53" s="24">
        <f>2743920.89</f>
        <v>2743920.89</v>
      </c>
      <c r="G53" s="24">
        <f>438210959.64</f>
        <v>438210959.63999999</v>
      </c>
      <c r="H53" s="24">
        <f>13514.45</f>
        <v>13514.45</v>
      </c>
      <c r="I53" s="24">
        <f>0</f>
        <v>0</v>
      </c>
      <c r="J53" s="24">
        <f>32878.17</f>
        <v>32878.17</v>
      </c>
      <c r="K53" s="24">
        <f>62108.02</f>
        <v>62108.02</v>
      </c>
      <c r="L53" s="24">
        <f>40607121.99</f>
        <v>40607121.990000002</v>
      </c>
      <c r="M53" s="24">
        <f>121911759.04</f>
        <v>121911759.04000001</v>
      </c>
      <c r="N53" s="24">
        <f>3083486.3</f>
        <v>3083486.3</v>
      </c>
      <c r="O53" s="24">
        <f>0</f>
        <v>0</v>
      </c>
      <c r="P53" s="24">
        <f>0</f>
        <v>0</v>
      </c>
      <c r="Q53" s="24">
        <f>0</f>
        <v>0</v>
      </c>
    </row>
    <row r="54" spans="1:17" ht="26.25" customHeight="1" x14ac:dyDescent="0.2">
      <c r="A54" s="19" t="s">
        <v>38</v>
      </c>
      <c r="B54" s="25">
        <f>43148008.81</f>
        <v>43148008.810000002</v>
      </c>
      <c r="C54" s="25">
        <f>43148008.81</f>
        <v>43148008.810000002</v>
      </c>
      <c r="D54" s="25">
        <f>18609781.55</f>
        <v>18609781.550000001</v>
      </c>
      <c r="E54" s="25">
        <f>103045.37</f>
        <v>103045.37</v>
      </c>
      <c r="F54" s="25">
        <f>2549747.94</f>
        <v>2549747.94</v>
      </c>
      <c r="G54" s="25">
        <f>15956756.17</f>
        <v>15956756.17</v>
      </c>
      <c r="H54" s="25">
        <f>232.07</f>
        <v>232.07</v>
      </c>
      <c r="I54" s="25">
        <f>0</f>
        <v>0</v>
      </c>
      <c r="J54" s="25">
        <f>64.91</f>
        <v>64.91</v>
      </c>
      <c r="K54" s="25">
        <f>53147.65</f>
        <v>53147.65</v>
      </c>
      <c r="L54" s="25">
        <f>21889134.88</f>
        <v>21889134.879999999</v>
      </c>
      <c r="M54" s="25">
        <f>2459119.87</f>
        <v>2459119.87</v>
      </c>
      <c r="N54" s="25">
        <f>136759.95</f>
        <v>136759.95000000001</v>
      </c>
      <c r="O54" s="25">
        <f>0</f>
        <v>0</v>
      </c>
      <c r="P54" s="25">
        <f>0</f>
        <v>0</v>
      </c>
      <c r="Q54" s="25">
        <f>0</f>
        <v>0</v>
      </c>
    </row>
    <row r="55" spans="1:17" ht="29.25" customHeight="1" x14ac:dyDescent="0.2">
      <c r="A55" s="19" t="s">
        <v>80</v>
      </c>
      <c r="B55" s="25">
        <f>17352063.48</f>
        <v>17352063.48</v>
      </c>
      <c r="C55" s="25">
        <f>17352063.48</f>
        <v>17352063.48</v>
      </c>
      <c r="D55" s="25">
        <f>8162985.72</f>
        <v>8162985.7199999997</v>
      </c>
      <c r="E55" s="25">
        <f>8059100.22</f>
        <v>8059100.2199999997</v>
      </c>
      <c r="F55" s="25">
        <f>29176.2</f>
        <v>29176.2</v>
      </c>
      <c r="G55" s="25">
        <f>74709.3</f>
        <v>74709.3</v>
      </c>
      <c r="H55" s="25">
        <f>0</f>
        <v>0</v>
      </c>
      <c r="I55" s="25">
        <f>0</f>
        <v>0</v>
      </c>
      <c r="J55" s="25">
        <f>2236.8</f>
        <v>2236.8000000000002</v>
      </c>
      <c r="K55" s="25">
        <f>5618.1</f>
        <v>5618.1</v>
      </c>
      <c r="L55" s="25">
        <f>1050021.39</f>
        <v>1050021.3899999999</v>
      </c>
      <c r="M55" s="25">
        <f>7799046.75</f>
        <v>7799046.75</v>
      </c>
      <c r="N55" s="25">
        <f>332154.72</f>
        <v>332154.71999999997</v>
      </c>
      <c r="O55" s="25">
        <f>0</f>
        <v>0</v>
      </c>
      <c r="P55" s="25">
        <f>0</f>
        <v>0</v>
      </c>
      <c r="Q55" s="25">
        <f>0</f>
        <v>0</v>
      </c>
    </row>
    <row r="56" spans="1:17" ht="33.75" customHeight="1" x14ac:dyDescent="0.2">
      <c r="A56" s="19" t="s">
        <v>39</v>
      </c>
      <c r="B56" s="25">
        <f>602245086.29</f>
        <v>602245086.28999996</v>
      </c>
      <c r="C56" s="25">
        <f>602245086.29</f>
        <v>602245086.28999996</v>
      </c>
      <c r="D56" s="25">
        <f>470275037.79</f>
        <v>470275037.79000002</v>
      </c>
      <c r="E56" s="25">
        <f>47917264.49</f>
        <v>47917264.490000002</v>
      </c>
      <c r="F56" s="25">
        <f>164996.75</f>
        <v>164996.75</v>
      </c>
      <c r="G56" s="25">
        <f>422179494.17</f>
        <v>422179494.17000002</v>
      </c>
      <c r="H56" s="25">
        <f>13282.38</f>
        <v>13282.38</v>
      </c>
      <c r="I56" s="25">
        <f>0</f>
        <v>0</v>
      </c>
      <c r="J56" s="25">
        <f>30576.46</f>
        <v>30576.46</v>
      </c>
      <c r="K56" s="25">
        <f>3342.27</f>
        <v>3342.27</v>
      </c>
      <c r="L56" s="25">
        <f>17667965.72</f>
        <v>17667965.719999999</v>
      </c>
      <c r="M56" s="25">
        <f>111653592.42</f>
        <v>111653592.42</v>
      </c>
      <c r="N56" s="25">
        <f>2614571.63</f>
        <v>2614571.63</v>
      </c>
      <c r="O56" s="25">
        <f>0</f>
        <v>0</v>
      </c>
      <c r="P56" s="25">
        <f>0</f>
        <v>0</v>
      </c>
      <c r="Q56" s="25">
        <f>0</f>
        <v>0</v>
      </c>
    </row>
    <row r="66" spans="1:13" ht="64.5" customHeight="1" x14ac:dyDescent="0.2">
      <c r="A6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III Kwartały 2023 roku                 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customHeight="1" x14ac:dyDescent="0.2">
      <c r="B68" s="33" t="s">
        <v>2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70" spans="1:13" ht="16.5" customHeight="1" x14ac:dyDescent="0.2">
      <c r="B70" s="69" t="s">
        <v>0</v>
      </c>
      <c r="C70" s="70"/>
      <c r="D70" s="70"/>
      <c r="E70" s="71"/>
      <c r="F70" s="78" t="s">
        <v>69</v>
      </c>
      <c r="G70" s="43" t="s">
        <v>75</v>
      </c>
      <c r="H70" s="44"/>
      <c r="I70" s="44"/>
      <c r="J70" s="44"/>
      <c r="K70" s="44"/>
      <c r="L70" s="45"/>
    </row>
    <row r="71" spans="1:13" ht="13.5" customHeight="1" x14ac:dyDescent="0.2">
      <c r="B71" s="72"/>
      <c r="C71" s="73"/>
      <c r="D71" s="73"/>
      <c r="E71" s="74"/>
      <c r="F71" s="79"/>
      <c r="G71" s="81" t="s">
        <v>70</v>
      </c>
      <c r="H71" s="27" t="s">
        <v>67</v>
      </c>
      <c r="I71" s="27" t="s">
        <v>68</v>
      </c>
      <c r="J71" s="27" t="s">
        <v>71</v>
      </c>
      <c r="K71" s="27" t="s">
        <v>72</v>
      </c>
      <c r="L71" s="84" t="s">
        <v>73</v>
      </c>
    </row>
    <row r="72" spans="1:13" ht="13.5" customHeight="1" x14ac:dyDescent="0.2">
      <c r="B72" s="72"/>
      <c r="C72" s="73"/>
      <c r="D72" s="73"/>
      <c r="E72" s="74"/>
      <c r="F72" s="79"/>
      <c r="G72" s="81"/>
      <c r="H72" s="27"/>
      <c r="I72" s="27"/>
      <c r="J72" s="27"/>
      <c r="K72" s="27"/>
      <c r="L72" s="84"/>
    </row>
    <row r="73" spans="1:13" ht="11.25" customHeight="1" x14ac:dyDescent="0.2">
      <c r="B73" s="72"/>
      <c r="C73" s="73"/>
      <c r="D73" s="73"/>
      <c r="E73" s="74"/>
      <c r="F73" s="79"/>
      <c r="G73" s="81"/>
      <c r="H73" s="27"/>
      <c r="I73" s="27"/>
      <c r="J73" s="27"/>
      <c r="K73" s="27"/>
      <c r="L73" s="84"/>
    </row>
    <row r="74" spans="1:13" ht="11.25" customHeight="1" x14ac:dyDescent="0.2">
      <c r="B74" s="75"/>
      <c r="C74" s="76"/>
      <c r="D74" s="76"/>
      <c r="E74" s="77"/>
      <c r="F74" s="80"/>
      <c r="G74" s="81"/>
      <c r="H74" s="27"/>
      <c r="I74" s="27"/>
      <c r="J74" s="27"/>
      <c r="K74" s="27"/>
      <c r="L74" s="84"/>
    </row>
    <row r="75" spans="1:13" ht="11.25" customHeight="1" x14ac:dyDescent="0.2">
      <c r="B75" s="27">
        <v>1</v>
      </c>
      <c r="C75" s="27"/>
      <c r="D75" s="27"/>
      <c r="E75" s="27"/>
      <c r="F75" s="3">
        <v>2</v>
      </c>
      <c r="G75" s="3">
        <v>3</v>
      </c>
      <c r="H75" s="3">
        <v>4</v>
      </c>
      <c r="I75" s="3">
        <v>5</v>
      </c>
      <c r="J75" s="3">
        <v>6</v>
      </c>
      <c r="K75" s="3">
        <v>7</v>
      </c>
      <c r="L75" s="3">
        <v>8</v>
      </c>
    </row>
    <row r="76" spans="1:13" ht="13.5" customHeight="1" x14ac:dyDescent="0.2">
      <c r="B76" s="27"/>
      <c r="C76" s="27"/>
      <c r="D76" s="27"/>
      <c r="E76" s="27"/>
      <c r="F76" s="43" t="s">
        <v>77</v>
      </c>
      <c r="G76" s="82"/>
      <c r="H76" s="82"/>
      <c r="I76" s="82"/>
      <c r="J76" s="82"/>
      <c r="K76" s="82"/>
      <c r="L76" s="83"/>
    </row>
    <row r="77" spans="1:13" ht="33.75" customHeight="1" x14ac:dyDescent="0.2">
      <c r="B77" s="56" t="s">
        <v>54</v>
      </c>
      <c r="C77" s="57"/>
      <c r="D77" s="57"/>
      <c r="E77" s="58"/>
      <c r="F77" s="26">
        <f>0</f>
        <v>0</v>
      </c>
      <c r="G77" s="26">
        <f>0</f>
        <v>0</v>
      </c>
      <c r="H77" s="26">
        <f>0</f>
        <v>0</v>
      </c>
      <c r="I77" s="26">
        <f>0</f>
        <v>0</v>
      </c>
      <c r="J77" s="26">
        <f>0</f>
        <v>0</v>
      </c>
      <c r="K77" s="26">
        <f>0</f>
        <v>0</v>
      </c>
      <c r="L77" s="26">
        <f>0</f>
        <v>0</v>
      </c>
    </row>
    <row r="78" spans="1:13" ht="33.75" customHeight="1" x14ac:dyDescent="0.2">
      <c r="B78" s="56" t="s">
        <v>55</v>
      </c>
      <c r="C78" s="57"/>
      <c r="D78" s="57"/>
      <c r="E78" s="58"/>
      <c r="F78" s="26">
        <f>0</f>
        <v>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0</f>
        <v>0</v>
      </c>
    </row>
    <row r="79" spans="1:13" ht="33.75" customHeight="1" x14ac:dyDescent="0.2">
      <c r="B79" s="56" t="s">
        <v>56</v>
      </c>
      <c r="C79" s="57"/>
      <c r="D79" s="57"/>
      <c r="E79" s="58"/>
      <c r="F79" s="26">
        <f>0</f>
        <v>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0</f>
        <v>0</v>
      </c>
    </row>
    <row r="80" spans="1:13" ht="30" customHeight="1" x14ac:dyDescent="0.2">
      <c r="B80" s="56" t="s">
        <v>57</v>
      </c>
      <c r="C80" s="57"/>
      <c r="D80" s="57"/>
      <c r="E80" s="58"/>
      <c r="F80" s="26">
        <f>0</f>
        <v>0</v>
      </c>
      <c r="G80" s="26">
        <f>0</f>
        <v>0</v>
      </c>
      <c r="H80" s="26">
        <f>0</f>
        <v>0</v>
      </c>
      <c r="I80" s="26">
        <f>0</f>
        <v>0</v>
      </c>
      <c r="J80" s="26">
        <f>0</f>
        <v>0</v>
      </c>
      <c r="K80" s="26">
        <f>0</f>
        <v>0</v>
      </c>
      <c r="L80" s="26">
        <f>0</f>
        <v>0</v>
      </c>
    </row>
    <row r="81" spans="1:13" ht="33.75" customHeight="1" x14ac:dyDescent="0.2">
      <c r="B81" s="56" t="s">
        <v>58</v>
      </c>
      <c r="C81" s="57"/>
      <c r="D81" s="57"/>
      <c r="E81" s="58"/>
      <c r="F81" s="26">
        <f>0</f>
        <v>0</v>
      </c>
      <c r="G81" s="26">
        <f>0</f>
        <v>0</v>
      </c>
      <c r="H81" s="26">
        <f>0</f>
        <v>0</v>
      </c>
      <c r="I81" s="26">
        <f>0</f>
        <v>0</v>
      </c>
      <c r="J81" s="26">
        <f>0</f>
        <v>0</v>
      </c>
      <c r="K81" s="26">
        <f>0</f>
        <v>0</v>
      </c>
      <c r="L81" s="26">
        <f>0</f>
        <v>0</v>
      </c>
    </row>
    <row r="82" spans="1:13" ht="33.75" customHeight="1" x14ac:dyDescent="0.2">
      <c r="B82" s="56" t="s">
        <v>59</v>
      </c>
      <c r="C82" s="57"/>
      <c r="D82" s="57"/>
      <c r="E82" s="58"/>
      <c r="F82" s="26">
        <f>0</f>
        <v>0</v>
      </c>
      <c r="G82" s="26">
        <f>0</f>
        <v>0</v>
      </c>
      <c r="H82" s="26">
        <f>0</f>
        <v>0</v>
      </c>
      <c r="I82" s="26">
        <f>0</f>
        <v>0</v>
      </c>
      <c r="J82" s="26">
        <f>0</f>
        <v>0</v>
      </c>
      <c r="K82" s="26">
        <f>0</f>
        <v>0</v>
      </c>
      <c r="L82" s="26">
        <f>0</f>
        <v>0</v>
      </c>
    </row>
    <row r="83" spans="1:13" ht="39" customHeight="1" x14ac:dyDescent="0.2">
      <c r="B83" s="56" t="s">
        <v>60</v>
      </c>
      <c r="C83" s="57"/>
      <c r="D83" s="57"/>
      <c r="E83" s="58"/>
      <c r="F83" s="26">
        <f>0</f>
        <v>0</v>
      </c>
      <c r="G83" s="26">
        <f>0</f>
        <v>0</v>
      </c>
      <c r="H83" s="26">
        <f>0</f>
        <v>0</v>
      </c>
      <c r="I83" s="26">
        <f>0</f>
        <v>0</v>
      </c>
      <c r="J83" s="26">
        <f>0</f>
        <v>0</v>
      </c>
      <c r="K83" s="26">
        <f>0</f>
        <v>0</v>
      </c>
      <c r="L83" s="26">
        <f>0</f>
        <v>0</v>
      </c>
    </row>
    <row r="86" spans="1:13" ht="75" customHeight="1" x14ac:dyDescent="0.2">
      <c r="A8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III Kwartały 2023 roku                 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 ht="13.5" customHeight="1" x14ac:dyDescent="0.2">
      <c r="B87" s="4"/>
    </row>
    <row r="88" spans="1:13" ht="13.5" customHeight="1" x14ac:dyDescent="0.2">
      <c r="B88" s="5"/>
      <c r="C88" s="43"/>
      <c r="D88" s="44"/>
      <c r="E88" s="44"/>
      <c r="F88" s="45"/>
      <c r="G88" s="43" t="s">
        <v>3</v>
      </c>
      <c r="H88" s="45"/>
      <c r="I88" s="43" t="s">
        <v>4</v>
      </c>
      <c r="J88" s="45"/>
      <c r="K88" s="5"/>
    </row>
    <row r="89" spans="1:13" ht="13.5" customHeight="1" x14ac:dyDescent="0.2">
      <c r="B89" s="6"/>
      <c r="C89" s="59" t="s">
        <v>5</v>
      </c>
      <c r="D89" s="60"/>
      <c r="E89" s="60"/>
      <c r="F89" s="61"/>
      <c r="G89" s="65">
        <f>118</f>
        <v>118</v>
      </c>
      <c r="H89" s="66"/>
      <c r="I89" s="49">
        <f>174257813.25</f>
        <v>174257813.25</v>
      </c>
      <c r="J89" s="50"/>
      <c r="K89" s="7"/>
    </row>
    <row r="90" spans="1:13" ht="13.5" customHeight="1" x14ac:dyDescent="0.2">
      <c r="B90" s="6"/>
      <c r="C90" s="62" t="s">
        <v>6</v>
      </c>
      <c r="D90" s="63"/>
      <c r="E90" s="63"/>
      <c r="F90" s="64"/>
      <c r="G90" s="67">
        <f>47</f>
        <v>47</v>
      </c>
      <c r="H90" s="68"/>
      <c r="I90" s="51">
        <f>-292153645.48</f>
        <v>-292153645.48000002</v>
      </c>
      <c r="J90" s="52"/>
      <c r="K90" s="7"/>
    </row>
    <row r="91" spans="1:13" ht="13.5" customHeight="1" x14ac:dyDescent="0.2">
      <c r="B91" s="6"/>
      <c r="C91" s="59" t="s">
        <v>7</v>
      </c>
      <c r="D91" s="60"/>
      <c r="E91" s="60"/>
      <c r="F91" s="61"/>
      <c r="G91" s="65">
        <f>1</f>
        <v>1</v>
      </c>
      <c r="H91" s="66"/>
      <c r="I91" s="49">
        <f>0</f>
        <v>0</v>
      </c>
      <c r="J91" s="50"/>
      <c r="K91" s="7"/>
    </row>
    <row r="94" spans="1:13" ht="13.5" customHeight="1" x14ac:dyDescent="0.2">
      <c r="A94" s="8" t="s">
        <v>8</v>
      </c>
      <c r="B94" s="8">
        <f>3</f>
        <v>3</v>
      </c>
      <c r="C94" s="8" t="str">
        <f>IF(B94=1,"I Kwartał",IF(B94=2,"II Kwartały",IF(B94=3,"III Kwartały",IF(B94=4,"IV Kwartały","-"))))</f>
        <v>III Kwartały</v>
      </c>
    </row>
    <row r="95" spans="1:13" ht="13.5" customHeight="1" x14ac:dyDescent="0.2">
      <c r="A95" s="8" t="s">
        <v>9</v>
      </c>
      <c r="B95" s="8">
        <f>2023</f>
        <v>2023</v>
      </c>
      <c r="C95" s="9"/>
    </row>
    <row r="96" spans="1:13" ht="13.5" customHeight="1" x14ac:dyDescent="0.2">
      <c r="A96" s="8" t="s">
        <v>10</v>
      </c>
      <c r="B96" s="10" t="str">
        <f>"Nov 14 2023 12:00AM"</f>
        <v>Nov 14 2023 12:00AM</v>
      </c>
      <c r="C96" s="9"/>
    </row>
    <row r="97" spans="1:2" ht="13.5" customHeight="1" x14ac:dyDescent="0.2">
      <c r="A97" s="15" t="s">
        <v>76</v>
      </c>
      <c r="B97" s="10" t="str">
        <f>""</f>
        <v/>
      </c>
    </row>
  </sheetData>
  <mergeCells count="79">
    <mergeCell ref="B75:E75"/>
    <mergeCell ref="F76:L76"/>
    <mergeCell ref="L71:L74"/>
    <mergeCell ref="O6:Q6"/>
    <mergeCell ref="O7:O10"/>
    <mergeCell ref="A66:M66"/>
    <mergeCell ref="L34:L37"/>
    <mergeCell ref="P34:P37"/>
    <mergeCell ref="Q34:Q37"/>
    <mergeCell ref="N34:N37"/>
    <mergeCell ref="G91:H91"/>
    <mergeCell ref="I89:J89"/>
    <mergeCell ref="B68:M68"/>
    <mergeCell ref="I88:J88"/>
    <mergeCell ref="B76:E76"/>
    <mergeCell ref="B70:E74"/>
    <mergeCell ref="B83:E83"/>
    <mergeCell ref="A86:M86"/>
    <mergeCell ref="B79:E79"/>
    <mergeCell ref="B80:E80"/>
    <mergeCell ref="C88:F88"/>
    <mergeCell ref="B82:E82"/>
    <mergeCell ref="G70:L70"/>
    <mergeCell ref="H71:H74"/>
    <mergeCell ref="I71:I74"/>
    <mergeCell ref="J71:J74"/>
    <mergeCell ref="I91:J91"/>
    <mergeCell ref="I90:J90"/>
    <mergeCell ref="A6:A10"/>
    <mergeCell ref="C6:N6"/>
    <mergeCell ref="D7:D10"/>
    <mergeCell ref="E7:E10"/>
    <mergeCell ref="B81:E81"/>
    <mergeCell ref="B78:E78"/>
    <mergeCell ref="M34:M37"/>
    <mergeCell ref="B77:E77"/>
    <mergeCell ref="C89:F89"/>
    <mergeCell ref="C90:F90"/>
    <mergeCell ref="C91:F91"/>
    <mergeCell ref="G89:H89"/>
    <mergeCell ref="G88:H88"/>
    <mergeCell ref="G90:H90"/>
    <mergeCell ref="B12:Q12"/>
    <mergeCell ref="B39:Q39"/>
    <mergeCell ref="Q7:Q10"/>
    <mergeCell ref="C33:N33"/>
    <mergeCell ref="N7:N10"/>
    <mergeCell ref="P7:P10"/>
    <mergeCell ref="O34:O37"/>
    <mergeCell ref="D34:D37"/>
    <mergeCell ref="H7:H10"/>
    <mergeCell ref="A1:M1"/>
    <mergeCell ref="C5:M5"/>
    <mergeCell ref="A3:M3"/>
    <mergeCell ref="K7:K10"/>
    <mergeCell ref="C7:C10"/>
    <mergeCell ref="B6:B10"/>
    <mergeCell ref="L7:L10"/>
    <mergeCell ref="M7:M10"/>
    <mergeCell ref="G7:G10"/>
    <mergeCell ref="F7:F10"/>
    <mergeCell ref="I7:I10"/>
    <mergeCell ref="J7:J10"/>
    <mergeCell ref="A29:M29"/>
    <mergeCell ref="O33:Q33"/>
    <mergeCell ref="A31:M31"/>
    <mergeCell ref="B33:B37"/>
    <mergeCell ref="A33:A37"/>
    <mergeCell ref="C34:C37"/>
    <mergeCell ref="E34:E37"/>
    <mergeCell ref="K71:K74"/>
    <mergeCell ref="F34:F37"/>
    <mergeCell ref="G34:G37"/>
    <mergeCell ref="H34:H37"/>
    <mergeCell ref="K34:K37"/>
    <mergeCell ref="I34:I37"/>
    <mergeCell ref="J34:J37"/>
    <mergeCell ref="F70:F74"/>
    <mergeCell ref="G71:G74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2016-08-26T11:07:04Z</cp:lastPrinted>
  <dcterms:created xsi:type="dcterms:W3CDTF">2001-05-17T08:58:03Z</dcterms:created>
  <dcterms:modified xsi:type="dcterms:W3CDTF">2023-11-27T09:48:40Z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2023-11-27T10:48:38.0081962+01:00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GRN-0a9682d9-4220-47c2-bc7e-b338444b7c5e</vt:lpwstr>
  </property>
  <property fmtid="{D5CDD505-2E9C-101B-9397-08002B2CF9AE}" pid="7" name="MFHash">
    <vt:lpwstr>LwTDPDmgI/zntj6c7QPp2bFDDo1Q/nBtDGju9xIvbuM=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