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zob_nal" sheetId="1" r:id="rId1"/>
  </sheets>
  <definedNames/>
  <calcPr fullCalcOnLoad="1"/>
</workbook>
</file>

<file path=xl/sharedStrings.xml><?xml version="1.0" encoding="utf-8"?>
<sst xmlns="http://schemas.openxmlformats.org/spreadsheetml/2006/main" count="98" uniqueCount="79">
  <si>
    <t>Wyszczególnienie</t>
  </si>
  <si>
    <t>banku centralnego</t>
  </si>
  <si>
    <t>Poręczenia i gwarancje</t>
  </si>
  <si>
    <t>Liczba jednostek</t>
  </si>
  <si>
    <t>Wykonanie</t>
  </si>
  <si>
    <t>JST, których budżety zamknęły się nadwyżką</t>
  </si>
  <si>
    <t>JST, których budżety zamknęły się deficytem</t>
  </si>
  <si>
    <t>JST z budżetami zrównoważonymi</t>
  </si>
  <si>
    <t>A. Należności oraz wybrane aktywa finansowe</t>
  </si>
  <si>
    <t>kwota 
należności
ogółem
(kol. 3+15)</t>
  </si>
  <si>
    <t>ogółem 
(kol 4+9+10+11 +12+13+14)</t>
  </si>
  <si>
    <t>dłużnicy  krajowi</t>
  </si>
  <si>
    <t>sektor 
finansów 
publicznych 
ogółem 
(kol 5+6+7+8)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</si>
  <si>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</si>
  <si>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</si>
  <si>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</si>
  <si>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</si>
  <si>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</si>
  <si>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</si>
  <si>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</si>
  <si>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</si>
  <si>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 xml:space="preserve">      dłużnicy zagraniczni</t>
  </si>
  <si>
    <t xml:space="preserve">grupa I </t>
  </si>
  <si>
    <t xml:space="preserve">grupa II </t>
  </si>
  <si>
    <t>grupa III</t>
  </si>
  <si>
    <t>grupa IV</t>
  </si>
  <si>
    <t>N. NALEŻNOŚCI ORAZ WYBRANE AKTYWA FINANSOWE  (N1+N2+N3+N4+N5)   z tego:</t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</si>
  <si>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</si>
  <si>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</si>
  <si>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</si>
  <si>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</si>
  <si>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</si>
  <si>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</si>
  <si>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</si>
  <si>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</si>
  <si>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</si>
  <si>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</si>
  <si>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N5.3 z tytułu innych niż wymienione powyżej</t>
  </si>
  <si>
    <t>N1 papiery wartościowe (N1.1+N1.2)</t>
  </si>
  <si>
    <t>N2  pożyczki (N2.1+N2.2)</t>
  </si>
  <si>
    <t>N3 gotówka i depozyty (N3.1+N3.2+N3.3)</t>
  </si>
  <si>
    <t>N4 należności wymagalne (N4.1+N4.2)</t>
  </si>
  <si>
    <t>N5 pozostałe należności  (N5.1+N5.2+N5.3)</t>
  </si>
  <si>
    <t>E  ZOBOWIĄZANIA WG TYTUŁÓW 
    DŁUŻNYCH (E1+E2+E3+E4)</t>
  </si>
  <si>
    <t>E1.1 krótkotermionowe</t>
  </si>
  <si>
    <t>E1.2 długoterminowe</t>
  </si>
  <si>
    <t>E2.1 krótkotermionowe</t>
  </si>
  <si>
    <t>E2.2 długoterminowe</t>
  </si>
  <si>
    <t>E3 przyjęte depozyty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</si>
  <si>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</si>
  <si>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</si>
  <si>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</si>
  <si>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</si>
  <si>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</si>
  <si>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</si>
  <si>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</si>
  <si>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</si>
  <si>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</si>
  <si>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Zobowiązania według tytułów dłużnych (wg wartości nominalnej)</t>
  </si>
  <si>
    <t>kwota 
zadłużenia
ogółem
(kol. 3+15)</t>
  </si>
  <si>
    <t>ogółem 
(kol. 4+9+10+11 +12+13+14)</t>
  </si>
  <si>
    <t>bank 
centralny</t>
  </si>
  <si>
    <t xml:space="preserve">      wierzyciele zagraniczni</t>
  </si>
  <si>
    <t>wierzyciele krajowi</t>
  </si>
  <si>
    <t>grupa I</t>
  </si>
  <si>
    <t>grupa II</t>
  </si>
  <si>
    <t>kwota 
zadłużenia
ogółem
(kol. 3+8)</t>
  </si>
  <si>
    <t>podmioty 
sektora finansów 
publicznych 
(kol.4+5+6+7)</t>
  </si>
  <si>
    <t xml:space="preserve">grupa III </t>
  </si>
  <si>
    <t xml:space="preserve">grupa IV </t>
  </si>
  <si>
    <t>pozostałe
podmioty</t>
  </si>
  <si>
    <t>sektora finansów publicznych (kol.5+6+7+8)</t>
  </si>
  <si>
    <t>wierzyciele i dłużnicy</t>
  </si>
  <si>
    <t>w złotych</t>
  </si>
  <si>
    <t>E1 papiery wartościowe  (E1.1+E1.2)</t>
  </si>
  <si>
    <t>E2 kredyty i pożyczki (E2.1+E2.2)</t>
  </si>
  <si>
    <t>E4  wymagalne zobowiązania (E4.1+E4.2)</t>
  </si>
  <si>
    <t>N5.2 z tytułu podatków i składek na ubezpieczenia społ.</t>
  </si>
  <si>
    <t xml:space="preserve">Informacja z wykonania budżetów powiatów za   IV Kwartały 2018 roku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</si>
</sst>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0.000"/>
    <numFmt numFmtId="169" formatCode="dd/mm/yy\ h:mm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6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40" borderId="1" applyNumberFormat="0" applyAlignment="0" applyProtection="0"/>
    <xf numFmtId="0" fontId="13" fillId="41" borderId="2" applyNumberFormat="0" applyAlignment="0" applyProtection="0"/>
    <xf numFmtId="0" fontId="33" fillId="42" borderId="3" applyNumberFormat="0" applyAlignment="0" applyProtection="0"/>
    <xf numFmtId="0" fontId="34" fillId="43" borderId="4" applyNumberFormat="0" applyAlignment="0" applyProtection="0"/>
    <xf numFmtId="0" fontId="35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5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6" borderId="1" applyNumberFormat="0" applyAlignment="0" applyProtection="0"/>
    <xf numFmtId="0" fontId="36" fillId="0" borderId="8" applyNumberFormat="0" applyFill="0" applyAlignment="0" applyProtection="0"/>
    <xf numFmtId="0" fontId="37" fillId="46" borderId="9" applyNumberFormat="0" applyAlignment="0" applyProtection="0"/>
    <xf numFmtId="0" fontId="20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41" fillId="47" borderId="0" applyNumberFormat="0" applyBorder="0" applyAlignment="0" applyProtection="0"/>
    <xf numFmtId="0" fontId="5" fillId="0" borderId="0">
      <alignment/>
      <protection/>
    </xf>
    <xf numFmtId="0" fontId="0" fillId="4" borderId="14" applyNumberFormat="0" applyFont="0" applyAlignment="0" applyProtection="0"/>
    <xf numFmtId="0" fontId="42" fillId="43" borderId="3" applyNumberFormat="0" applyAlignment="0" applyProtection="0"/>
    <xf numFmtId="0" fontId="2" fillId="0" borderId="0" applyNumberFormat="0" applyFill="0" applyBorder="0" applyAlignment="0" applyProtection="0"/>
    <xf numFmtId="0" fontId="22" fillId="40" borderId="15" applyNumberFormat="0" applyAlignment="0" applyProtection="0"/>
    <xf numFmtId="9" fontId="0" fillId="0" borderId="0" applyFont="0" applyFill="0" applyBorder="0" applyAlignment="0" applyProtection="0"/>
    <xf numFmtId="0" fontId="43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6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7" fillId="49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88" applyFont="1" applyAlignment="1">
      <alignment horizontal="center" vertical="center" wrapText="1"/>
      <protection/>
    </xf>
    <xf numFmtId="0" fontId="5" fillId="0" borderId="0" xfId="88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5" fillId="0" borderId="0" xfId="88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left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26" fillId="0" borderId="0" xfId="88" applyFont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27" fillId="0" borderId="19" xfId="88" applyFont="1" applyBorder="1" applyAlignment="1">
      <alignment horizontal="left" vertical="center" wrapText="1"/>
      <protection/>
    </xf>
    <xf numFmtId="4" fontId="7" fillId="0" borderId="19" xfId="88" applyNumberFormat="1" applyFont="1" applyBorder="1" applyAlignment="1">
      <alignment vertical="center" wrapText="1"/>
      <protection/>
    </xf>
    <xf numFmtId="0" fontId="7" fillId="0" borderId="0" xfId="0" applyFont="1" applyFill="1" applyBorder="1" applyAlignment="1">
      <alignment horizontal="left" indent="1"/>
    </xf>
    <xf numFmtId="4" fontId="7" fillId="0" borderId="0" xfId="88" applyNumberFormat="1" applyFont="1" applyBorder="1" applyAlignment="1">
      <alignment horizontal="right" vertical="center" wrapText="1"/>
      <protection/>
    </xf>
    <xf numFmtId="0" fontId="3" fillId="0" borderId="19" xfId="88" applyFont="1" applyBorder="1" applyAlignment="1">
      <alignment horizontal="left" vertical="center" wrapText="1"/>
      <protection/>
    </xf>
    <xf numFmtId="0" fontId="29" fillId="0" borderId="20" xfId="0" applyFont="1" applyFill="1" applyBorder="1" applyAlignment="1">
      <alignment vertical="center" wrapText="1"/>
    </xf>
    <xf numFmtId="0" fontId="3" fillId="40" borderId="19" xfId="88" applyFont="1" applyFill="1" applyBorder="1" applyAlignment="1">
      <alignment horizontal="left" vertical="center" wrapText="1"/>
      <protection/>
    </xf>
    <xf numFmtId="0" fontId="8" fillId="40" borderId="19" xfId="88" applyFont="1" applyFill="1" applyBorder="1" applyAlignment="1">
      <alignment horizontal="left" vertical="center" wrapText="1"/>
      <protection/>
    </xf>
    <xf numFmtId="4" fontId="7" fillId="40" borderId="19" xfId="88" applyNumberFormat="1" applyFont="1" applyFill="1" applyBorder="1" applyAlignment="1">
      <alignment horizontal="right" vertical="center" wrapText="1"/>
      <protection/>
    </xf>
    <xf numFmtId="4" fontId="7" fillId="0" borderId="19" xfId="88" applyNumberFormat="1" applyFont="1" applyBorder="1" applyAlignment="1">
      <alignment horizontal="right" vertical="center" wrapText="1"/>
      <protection/>
    </xf>
    <xf numFmtId="4" fontId="7" fillId="40" borderId="19" xfId="88" applyNumberFormat="1" applyFont="1" applyFill="1" applyBorder="1" applyAlignment="1">
      <alignment vertical="center" wrapText="1"/>
      <protection/>
    </xf>
    <xf numFmtId="4" fontId="7" fillId="0" borderId="19" xfId="88" applyNumberFormat="1" applyFont="1" applyFill="1" applyBorder="1" applyAlignment="1">
      <alignment vertical="center" wrapText="1"/>
      <protection/>
    </xf>
    <xf numFmtId="0" fontId="28" fillId="50" borderId="20" xfId="0" applyFont="1" applyFill="1" applyBorder="1" applyAlignment="1">
      <alignment vertical="center" wrapText="1"/>
    </xf>
    <xf numFmtId="4" fontId="7" fillId="0" borderId="19" xfId="88" applyNumberFormat="1" applyFont="1" applyFill="1" applyBorder="1" applyAlignment="1">
      <alignment horizontal="right" vertical="center" wrapText="1"/>
      <protection/>
    </xf>
    <xf numFmtId="0" fontId="7" fillId="2" borderId="21" xfId="88" applyFont="1" applyFill="1" applyBorder="1" applyAlignment="1">
      <alignment horizontal="center" vertical="center" wrapText="1"/>
      <protection/>
    </xf>
    <xf numFmtId="0" fontId="7" fillId="2" borderId="22" xfId="88" applyFont="1" applyFill="1" applyBorder="1" applyAlignment="1">
      <alignment horizontal="center" vertical="center" wrapText="1"/>
      <protection/>
    </xf>
    <xf numFmtId="0" fontId="7" fillId="2" borderId="23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30" fillId="0" borderId="0" xfId="88" applyFont="1" applyAlignment="1">
      <alignment horizontal="center" vertical="center" wrapText="1"/>
      <protection/>
    </xf>
    <xf numFmtId="0" fontId="7" fillId="2" borderId="24" xfId="88" applyFont="1" applyFill="1" applyBorder="1" applyAlignment="1">
      <alignment horizontal="center" vertical="center" wrapText="1"/>
      <protection/>
    </xf>
    <xf numFmtId="0" fontId="7" fillId="2" borderId="25" xfId="88" applyFont="1" applyFill="1" applyBorder="1" applyAlignment="1">
      <alignment horizontal="center" vertical="center" wrapText="1"/>
      <protection/>
    </xf>
    <xf numFmtId="0" fontId="7" fillId="2" borderId="26" xfId="88" applyFont="1" applyFill="1" applyBorder="1" applyAlignment="1">
      <alignment horizontal="center" vertical="center" wrapText="1"/>
      <protection/>
    </xf>
    <xf numFmtId="0" fontId="7" fillId="2" borderId="19" xfId="88" applyNumberFormat="1" applyFont="1" applyFill="1" applyBorder="1" applyAlignment="1">
      <alignment horizontal="center" vertical="center" wrapText="1"/>
      <protection/>
    </xf>
    <xf numFmtId="0" fontId="3" fillId="0" borderId="21" xfId="88" applyFont="1" applyFill="1" applyBorder="1" applyAlignment="1">
      <alignment horizontal="left" vertical="center" wrapText="1"/>
      <protection/>
    </xf>
    <xf numFmtId="0" fontId="3" fillId="0" borderId="22" xfId="88" applyFont="1" applyFill="1" applyBorder="1" applyAlignment="1">
      <alignment horizontal="left" vertical="center" wrapText="1"/>
      <protection/>
    </xf>
    <xf numFmtId="0" fontId="3" fillId="0" borderId="23" xfId="88" applyFont="1" applyFill="1" applyBorder="1" applyAlignment="1">
      <alignment horizontal="left" vertical="center" wrapText="1"/>
      <protection/>
    </xf>
    <xf numFmtId="4" fontId="7" fillId="0" borderId="21" xfId="88" applyNumberFormat="1" applyFont="1" applyBorder="1" applyAlignment="1">
      <alignment horizontal="right" vertical="center" wrapText="1"/>
      <protection/>
    </xf>
    <xf numFmtId="4" fontId="7" fillId="0" borderId="23" xfId="88" applyNumberFormat="1" applyFont="1" applyBorder="1" applyAlignment="1">
      <alignment horizontal="right" vertical="center" wrapText="1"/>
      <protection/>
    </xf>
    <xf numFmtId="0" fontId="6" fillId="0" borderId="0" xfId="88" applyFont="1" applyAlignment="1">
      <alignment horizontal="left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8" fillId="2" borderId="27" xfId="88" applyFont="1" applyFill="1" applyBorder="1" applyAlignment="1">
      <alignment horizontal="center" vertical="center" wrapText="1"/>
      <protection/>
    </xf>
    <xf numFmtId="0" fontId="8" fillId="2" borderId="28" xfId="88" applyFont="1" applyFill="1" applyBorder="1" applyAlignment="1">
      <alignment horizontal="center" vertical="center" wrapText="1"/>
      <protection/>
    </xf>
    <xf numFmtId="0" fontId="8" fillId="2" borderId="29" xfId="88" applyFont="1" applyFill="1" applyBorder="1" applyAlignment="1">
      <alignment horizontal="center" vertical="center" wrapText="1"/>
      <protection/>
    </xf>
    <xf numFmtId="0" fontId="8" fillId="2" borderId="30" xfId="88" applyFont="1" applyFill="1" applyBorder="1" applyAlignment="1">
      <alignment horizontal="center" vertical="center" wrapText="1"/>
      <protection/>
    </xf>
    <xf numFmtId="0" fontId="8" fillId="2" borderId="0" xfId="88" applyFont="1" applyFill="1" applyBorder="1" applyAlignment="1">
      <alignment horizontal="center" vertical="center" wrapText="1"/>
      <protection/>
    </xf>
    <xf numFmtId="0" fontId="8" fillId="2" borderId="31" xfId="88" applyFont="1" applyFill="1" applyBorder="1" applyAlignment="1">
      <alignment horizontal="center" vertical="center" wrapText="1"/>
      <protection/>
    </xf>
    <xf numFmtId="0" fontId="8" fillId="2" borderId="32" xfId="88" applyFont="1" applyFill="1" applyBorder="1" applyAlignment="1">
      <alignment horizontal="center" vertical="center" wrapText="1"/>
      <protection/>
    </xf>
    <xf numFmtId="0" fontId="8" fillId="2" borderId="33" xfId="88" applyFont="1" applyFill="1" applyBorder="1" applyAlignment="1">
      <alignment horizontal="center" vertical="center" wrapText="1"/>
      <protection/>
    </xf>
    <xf numFmtId="0" fontId="8" fillId="2" borderId="34" xfId="88" applyFont="1" applyFill="1" applyBorder="1" applyAlignment="1">
      <alignment horizontal="center" vertical="center" wrapText="1"/>
      <protection/>
    </xf>
    <xf numFmtId="3" fontId="7" fillId="0" borderId="21" xfId="88" applyNumberFormat="1" applyFont="1" applyBorder="1" applyAlignment="1">
      <alignment horizontal="right" vertical="center" wrapText="1"/>
      <protection/>
    </xf>
    <xf numFmtId="3" fontId="7" fillId="0" borderId="23" xfId="88" applyNumberFormat="1" applyFont="1" applyBorder="1" applyAlignment="1">
      <alignment horizontal="right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0" borderId="21" xfId="88" applyFont="1" applyBorder="1" applyAlignment="1">
      <alignment horizontal="left" vertical="center" wrapText="1"/>
      <protection/>
    </xf>
    <xf numFmtId="0" fontId="3" fillId="0" borderId="22" xfId="88" applyFont="1" applyBorder="1" applyAlignment="1">
      <alignment horizontal="left" vertical="center" wrapText="1"/>
      <protection/>
    </xf>
    <xf numFmtId="0" fontId="3" fillId="0" borderId="23" xfId="88" applyFont="1" applyBorder="1" applyAlignment="1">
      <alignment horizontal="left" vertical="center" wrapText="1"/>
      <protection/>
    </xf>
    <xf numFmtId="0" fontId="3" fillId="40" borderId="21" xfId="88" applyFont="1" applyFill="1" applyBorder="1" applyAlignment="1">
      <alignment horizontal="left" vertical="center" wrapText="1"/>
      <protection/>
    </xf>
    <xf numFmtId="0" fontId="3" fillId="40" borderId="22" xfId="88" applyFont="1" applyFill="1" applyBorder="1" applyAlignment="1">
      <alignment horizontal="left" vertical="center" wrapText="1"/>
      <protection/>
    </xf>
    <xf numFmtId="0" fontId="3" fillId="40" borderId="23" xfId="88" applyFont="1" applyFill="1" applyBorder="1" applyAlignment="1">
      <alignment horizontal="left" vertical="center" wrapText="1"/>
      <protection/>
    </xf>
    <xf numFmtId="3" fontId="7" fillId="40" borderId="21" xfId="88" applyNumberFormat="1" applyFont="1" applyFill="1" applyBorder="1" applyAlignment="1">
      <alignment horizontal="right" vertical="center" wrapText="1"/>
      <protection/>
    </xf>
    <xf numFmtId="3" fontId="7" fillId="40" borderId="23" xfId="88" applyNumberFormat="1" applyFont="1" applyFill="1" applyBorder="1" applyAlignment="1">
      <alignment horizontal="right" vertical="center" wrapText="1"/>
      <protection/>
    </xf>
    <xf numFmtId="4" fontId="7" fillId="40" borderId="21" xfId="88" applyNumberFormat="1" applyFont="1" applyFill="1" applyBorder="1" applyAlignment="1">
      <alignment horizontal="right" vertical="center" wrapText="1"/>
      <protection/>
    </xf>
    <xf numFmtId="4" fontId="7" fillId="40" borderId="23" xfId="88" applyNumberFormat="1" applyFont="1" applyFill="1" applyBorder="1" applyAlignment="1">
      <alignment horizontal="right" vertical="center" wrapText="1"/>
      <protection/>
    </xf>
    <xf numFmtId="0" fontId="3" fillId="2" borderId="27" xfId="88" applyFont="1" applyFill="1" applyBorder="1" applyAlignment="1">
      <alignment horizontal="center" vertical="center" wrapText="1"/>
      <protection/>
    </xf>
    <xf numFmtId="0" fontId="3" fillId="2" borderId="30" xfId="88" applyFont="1" applyFill="1" applyBorder="1" applyAlignment="1">
      <alignment horizontal="center" vertical="center" wrapText="1"/>
      <protection/>
    </xf>
    <xf numFmtId="0" fontId="3" fillId="2" borderId="32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7" fillId="2" borderId="30" xfId="88" applyFont="1" applyFill="1" applyBorder="1" applyAlignment="1">
      <alignment horizontal="center" vertical="center" wrapText="1"/>
      <protection/>
    </xf>
    <xf numFmtId="0" fontId="7" fillId="2" borderId="32" xfId="88" applyFont="1" applyFill="1" applyBorder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27" fillId="2" borderId="24" xfId="88" applyFont="1" applyFill="1" applyBorder="1" applyAlignment="1">
      <alignment horizontal="center" vertical="center" wrapText="1"/>
      <protection/>
    </xf>
    <xf numFmtId="0" fontId="27" fillId="2" borderId="25" xfId="88" applyFont="1" applyFill="1" applyBorder="1" applyAlignment="1">
      <alignment horizontal="center" vertical="center" wrapText="1"/>
      <protection/>
    </xf>
    <xf numFmtId="0" fontId="27" fillId="2" borderId="26" xfId="88" applyFont="1" applyFill="1" applyBorder="1" applyAlignment="1">
      <alignment horizontal="center" vertical="center" wrapText="1"/>
      <protection/>
    </xf>
    <xf numFmtId="0" fontId="27" fillId="2" borderId="21" xfId="88" applyFont="1" applyFill="1" applyBorder="1" applyAlignment="1">
      <alignment horizontal="center" vertical="center" wrapText="1"/>
      <protection/>
    </xf>
    <xf numFmtId="0" fontId="27" fillId="2" borderId="22" xfId="88" applyFont="1" applyFill="1" applyBorder="1" applyAlignment="1">
      <alignment horizontal="center" vertical="center" wrapText="1"/>
      <protection/>
    </xf>
    <xf numFmtId="0" fontId="27" fillId="2" borderId="23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2" borderId="19" xfId="88" applyNumberFormat="1" applyFont="1" applyFill="1" applyBorder="1" applyAlignment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_Zeszyt1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y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88"/>
  <sheetViews>
    <sheetView tabSelected="1" zoomScaleSheetLayoutView="75" workbookViewId="0" topLeftCell="A1">
      <selection activeCell="A13" sqref="A13"/>
    </sheetView>
  </sheetViews>
  <sheetFormatPr defaultColWidth="9.00390625" defaultRowHeight="13.5" customHeight="1"/>
  <cols>
    <col min="1" max="1" width="22.625" style="2" customWidth="1"/>
    <col min="2" max="3" width="13.75390625" style="2" customWidth="1"/>
    <col min="4" max="6" width="11.375" style="2" customWidth="1"/>
    <col min="7" max="7" width="12.125" style="2" customWidth="1"/>
    <col min="8" max="8" width="12.00390625" style="2" customWidth="1"/>
    <col min="9" max="9" width="12.625" style="2" customWidth="1"/>
    <col min="10" max="10" width="12.875" style="2" customWidth="1"/>
    <col min="11" max="11" width="12.125" style="2" customWidth="1"/>
    <col min="12" max="12" width="11.375" style="2" customWidth="1"/>
    <col min="13" max="13" width="10.00390625" style="2" customWidth="1"/>
    <col min="14" max="14" width="10.25390625" style="2" customWidth="1"/>
    <col min="15" max="15" width="9.125" style="2" customWidth="1"/>
    <col min="16" max="16" width="10.25390625" style="2" customWidth="1"/>
    <col min="17" max="16384" width="9.125" style="2" customWidth="1"/>
  </cols>
  <sheetData>
    <row r="1" spans="1:13" ht="39.75" customHeight="1">
      <c r="A1" s="29" t="s">
        <v>78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>
      <c r="A3" s="39" t="s">
        <v>58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5" spans="2:17" ht="13.5" customHeight="1">
      <c r="B5" s="9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8"/>
      <c r="O5" s="8"/>
      <c r="P5" s="8"/>
      <c r="Q5" s="8"/>
    </row>
    <row r="6" spans="1:17" ht="13.5" customHeight="1">
      <c r="A6" s="72" t="s">
        <v>0</v>
      </c>
      <c r="B6" s="30" t="s">
        <v>59</v>
      </c>
      <c r="C6" s="25" t="s">
        <v>63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7"/>
      <c r="O6" s="25" t="s">
        <v>62</v>
      </c>
      <c r="P6" s="26"/>
      <c r="Q6" s="27"/>
    </row>
    <row r="7" spans="1:17" ht="13.5" customHeight="1">
      <c r="A7" s="73"/>
      <c r="B7" s="31"/>
      <c r="C7" s="32" t="s">
        <v>60</v>
      </c>
      <c r="D7" s="32" t="s">
        <v>71</v>
      </c>
      <c r="E7" s="32" t="s">
        <v>64</v>
      </c>
      <c r="F7" s="32" t="s">
        <v>65</v>
      </c>
      <c r="G7" s="32" t="s">
        <v>24</v>
      </c>
      <c r="H7" s="32" t="s">
        <v>25</v>
      </c>
      <c r="I7" s="69" t="s">
        <v>61</v>
      </c>
      <c r="J7" s="32" t="s">
        <v>13</v>
      </c>
      <c r="K7" s="32" t="s">
        <v>14</v>
      </c>
      <c r="L7" s="32" t="s">
        <v>15</v>
      </c>
      <c r="M7" s="32" t="s">
        <v>16</v>
      </c>
      <c r="N7" s="31" t="s">
        <v>17</v>
      </c>
      <c r="O7" s="28" t="s">
        <v>18</v>
      </c>
      <c r="P7" s="28" t="s">
        <v>19</v>
      </c>
      <c r="Q7" s="28" t="s">
        <v>20</v>
      </c>
    </row>
    <row r="8" spans="1:17" ht="13.5" customHeight="1">
      <c r="A8" s="73"/>
      <c r="B8" s="31"/>
      <c r="C8" s="28"/>
      <c r="D8" s="28"/>
      <c r="E8" s="28"/>
      <c r="F8" s="28"/>
      <c r="G8" s="28"/>
      <c r="H8" s="28"/>
      <c r="I8" s="69"/>
      <c r="J8" s="28"/>
      <c r="K8" s="28"/>
      <c r="L8" s="28"/>
      <c r="M8" s="28"/>
      <c r="N8" s="31"/>
      <c r="O8" s="28"/>
      <c r="P8" s="28"/>
      <c r="Q8" s="28"/>
    </row>
    <row r="9" spans="1:17" ht="11.25" customHeight="1">
      <c r="A9" s="73"/>
      <c r="B9" s="31"/>
      <c r="C9" s="28"/>
      <c r="D9" s="28"/>
      <c r="E9" s="28"/>
      <c r="F9" s="28"/>
      <c r="G9" s="28"/>
      <c r="H9" s="28"/>
      <c r="I9" s="69"/>
      <c r="J9" s="28"/>
      <c r="K9" s="28"/>
      <c r="L9" s="28"/>
      <c r="M9" s="28"/>
      <c r="N9" s="31"/>
      <c r="O9" s="28"/>
      <c r="P9" s="28"/>
      <c r="Q9" s="28"/>
    </row>
    <row r="10" spans="1:17" ht="33.75" customHeight="1">
      <c r="A10" s="74"/>
      <c r="B10" s="32"/>
      <c r="C10" s="28"/>
      <c r="D10" s="28"/>
      <c r="E10" s="28"/>
      <c r="F10" s="28"/>
      <c r="G10" s="28"/>
      <c r="H10" s="28"/>
      <c r="I10" s="70"/>
      <c r="J10" s="28"/>
      <c r="K10" s="28"/>
      <c r="L10" s="28"/>
      <c r="M10" s="28"/>
      <c r="N10" s="32"/>
      <c r="O10" s="28"/>
      <c r="P10" s="28"/>
      <c r="Q10" s="28"/>
    </row>
    <row r="11" spans="1:17" ht="15.7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  <c r="Q11" s="10">
        <v>17</v>
      </c>
    </row>
    <row r="12" spans="1:17" ht="12" customHeight="1">
      <c r="A12" s="10"/>
      <c r="B12" s="78" t="s">
        <v>73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80"/>
    </row>
    <row r="13" spans="1:17" ht="39.75" customHeight="1">
      <c r="A13" s="18" t="s">
        <v>43</v>
      </c>
      <c r="B13" s="19">
        <f>6467455717.83</f>
        <v>6467455717.83</v>
      </c>
      <c r="C13" s="19">
        <f>6467455717.83</f>
        <v>6467455717.83</v>
      </c>
      <c r="D13" s="19">
        <f>260735926.64</f>
        <v>260735926.64</v>
      </c>
      <c r="E13" s="19">
        <f>192407176.17</f>
        <v>192407176.17</v>
      </c>
      <c r="F13" s="19">
        <f>27122982.31</f>
        <v>27122982.31</v>
      </c>
      <c r="G13" s="19">
        <f>40777956.74</f>
        <v>40777956.74</v>
      </c>
      <c r="H13" s="19">
        <f>427811.42</f>
        <v>427811.42</v>
      </c>
      <c r="I13" s="19">
        <f>0</f>
        <v>0</v>
      </c>
      <c r="J13" s="19">
        <f>6097090406.99</f>
        <v>6097090406.99</v>
      </c>
      <c r="K13" s="19">
        <f>102299082.18</f>
        <v>102299082.18</v>
      </c>
      <c r="L13" s="19">
        <f>5686598.49</f>
        <v>5686598.49</v>
      </c>
      <c r="M13" s="19">
        <f>1587896.87</f>
        <v>1587896.87</v>
      </c>
      <c r="N13" s="19">
        <f>55806.66</f>
        <v>55806.66</v>
      </c>
      <c r="O13" s="19">
        <f>0</f>
        <v>0</v>
      </c>
      <c r="P13" s="19">
        <f>0</f>
        <v>0</v>
      </c>
      <c r="Q13" s="19">
        <f>0</f>
        <v>0</v>
      </c>
    </row>
    <row r="14" spans="1:17" ht="24.75" customHeight="1">
      <c r="A14" s="17" t="s">
        <v>74</v>
      </c>
      <c r="B14" s="19">
        <f>69865000</f>
        <v>69865000</v>
      </c>
      <c r="C14" s="19">
        <f>69865000</f>
        <v>69865000</v>
      </c>
      <c r="D14" s="19">
        <f>0</f>
        <v>0</v>
      </c>
      <c r="E14" s="19">
        <f>0</f>
        <v>0</v>
      </c>
      <c r="F14" s="19">
        <f>0</f>
        <v>0</v>
      </c>
      <c r="G14" s="19">
        <f>0</f>
        <v>0</v>
      </c>
      <c r="H14" s="19">
        <f>0</f>
        <v>0</v>
      </c>
      <c r="I14" s="19">
        <f>0</f>
        <v>0</v>
      </c>
      <c r="J14" s="19">
        <f>69865000</f>
        <v>69865000</v>
      </c>
      <c r="K14" s="19">
        <f>0</f>
        <v>0</v>
      </c>
      <c r="L14" s="19">
        <f>0</f>
        <v>0</v>
      </c>
      <c r="M14" s="19">
        <f>0</f>
        <v>0</v>
      </c>
      <c r="N14" s="19">
        <f>0</f>
        <v>0</v>
      </c>
      <c r="O14" s="19">
        <f>0</f>
        <v>0</v>
      </c>
      <c r="P14" s="19">
        <f>0</f>
        <v>0</v>
      </c>
      <c r="Q14" s="19">
        <f>0</f>
        <v>0</v>
      </c>
    </row>
    <row r="15" spans="1:17" ht="21" customHeight="1">
      <c r="A15" s="15" t="s">
        <v>44</v>
      </c>
      <c r="B15" s="20">
        <f>0</f>
        <v>0</v>
      </c>
      <c r="C15" s="20">
        <f>0</f>
        <v>0</v>
      </c>
      <c r="D15" s="20">
        <f>0</f>
        <v>0</v>
      </c>
      <c r="E15" s="20">
        <f>0</f>
        <v>0</v>
      </c>
      <c r="F15" s="20">
        <f>0</f>
        <v>0</v>
      </c>
      <c r="G15" s="20">
        <f>0</f>
        <v>0</v>
      </c>
      <c r="H15" s="20">
        <f>0</f>
        <v>0</v>
      </c>
      <c r="I15" s="20">
        <f>0</f>
        <v>0</v>
      </c>
      <c r="J15" s="20">
        <f>0</f>
        <v>0</v>
      </c>
      <c r="K15" s="20">
        <f>0</f>
        <v>0</v>
      </c>
      <c r="L15" s="20">
        <f>0</f>
        <v>0</v>
      </c>
      <c r="M15" s="20">
        <f>0</f>
        <v>0</v>
      </c>
      <c r="N15" s="20">
        <f>0</f>
        <v>0</v>
      </c>
      <c r="O15" s="20">
        <f>0</f>
        <v>0</v>
      </c>
      <c r="P15" s="20">
        <f>0</f>
        <v>0</v>
      </c>
      <c r="Q15" s="20">
        <f>0</f>
        <v>0</v>
      </c>
    </row>
    <row r="16" spans="1:17" ht="20.25" customHeight="1">
      <c r="A16" s="15" t="s">
        <v>45</v>
      </c>
      <c r="B16" s="20">
        <f>69865000</f>
        <v>69865000</v>
      </c>
      <c r="C16" s="20">
        <f>69865000</f>
        <v>69865000</v>
      </c>
      <c r="D16" s="20">
        <f>0</f>
        <v>0</v>
      </c>
      <c r="E16" s="20">
        <f>0</f>
        <v>0</v>
      </c>
      <c r="F16" s="20">
        <f>0</f>
        <v>0</v>
      </c>
      <c r="G16" s="20">
        <f>0</f>
        <v>0</v>
      </c>
      <c r="H16" s="20">
        <f>0</f>
        <v>0</v>
      </c>
      <c r="I16" s="20">
        <f>0</f>
        <v>0</v>
      </c>
      <c r="J16" s="20">
        <f>69865000</f>
        <v>69865000</v>
      </c>
      <c r="K16" s="20">
        <f>0</f>
        <v>0</v>
      </c>
      <c r="L16" s="20">
        <f>0</f>
        <v>0</v>
      </c>
      <c r="M16" s="20">
        <f>0</f>
        <v>0</v>
      </c>
      <c r="N16" s="20">
        <f>0</f>
        <v>0</v>
      </c>
      <c r="O16" s="20">
        <f>0</f>
        <v>0</v>
      </c>
      <c r="P16" s="20">
        <f>0</f>
        <v>0</v>
      </c>
      <c r="Q16" s="20">
        <f>0</f>
        <v>0</v>
      </c>
    </row>
    <row r="17" spans="1:17" ht="24" customHeight="1">
      <c r="A17" s="18" t="s">
        <v>75</v>
      </c>
      <c r="B17" s="19">
        <f>6394078321.69</f>
        <v>6394078321.69</v>
      </c>
      <c r="C17" s="19">
        <f>6394078321.69</f>
        <v>6394078321.69</v>
      </c>
      <c r="D17" s="19">
        <f>258448306.83</f>
        <v>258448306.83</v>
      </c>
      <c r="E17" s="19">
        <f>190589325.32</f>
        <v>190589325.32</v>
      </c>
      <c r="F17" s="19">
        <f>27122982.31</f>
        <v>27122982.31</v>
      </c>
      <c r="G17" s="19">
        <f>40735999.2</f>
        <v>40735999.2</v>
      </c>
      <c r="H17" s="19">
        <f>0</f>
        <v>0</v>
      </c>
      <c r="I17" s="19">
        <f>0</f>
        <v>0</v>
      </c>
      <c r="J17" s="19">
        <f>6027177406.99</f>
        <v>6027177406.99</v>
      </c>
      <c r="K17" s="19">
        <f>102236965.4</f>
        <v>102236965.4</v>
      </c>
      <c r="L17" s="19">
        <f>5066649.76</f>
        <v>5066649.76</v>
      </c>
      <c r="M17" s="19">
        <f>1093576.05</f>
        <v>1093576.05</v>
      </c>
      <c r="N17" s="19">
        <f>55416.66</f>
        <v>55416.66</v>
      </c>
      <c r="O17" s="19">
        <f>0</f>
        <v>0</v>
      </c>
      <c r="P17" s="19">
        <f>0</f>
        <v>0</v>
      </c>
      <c r="Q17" s="19">
        <f>0</f>
        <v>0</v>
      </c>
    </row>
    <row r="18" spans="1:17" ht="23.25" customHeight="1">
      <c r="A18" s="15" t="s">
        <v>46</v>
      </c>
      <c r="B18" s="20">
        <f>32156919.01</f>
        <v>32156919.01</v>
      </c>
      <c r="C18" s="20">
        <f>32156919.01</f>
        <v>32156919.01</v>
      </c>
      <c r="D18" s="20">
        <f>1052551</f>
        <v>1052551</v>
      </c>
      <c r="E18" s="20">
        <f>672000</f>
        <v>672000</v>
      </c>
      <c r="F18" s="20">
        <f>164731</f>
        <v>164731</v>
      </c>
      <c r="G18" s="20">
        <f>215820</f>
        <v>215820</v>
      </c>
      <c r="H18" s="20">
        <f>0</f>
        <v>0</v>
      </c>
      <c r="I18" s="20">
        <f>0</f>
        <v>0</v>
      </c>
      <c r="J18" s="20">
        <f>30075500.69</f>
        <v>30075500.69</v>
      </c>
      <c r="K18" s="20">
        <f>58730</f>
        <v>58730</v>
      </c>
      <c r="L18" s="20">
        <f>970137.32</f>
        <v>970137.32</v>
      </c>
      <c r="M18" s="20">
        <f>0</f>
        <v>0</v>
      </c>
      <c r="N18" s="20">
        <f>0</f>
        <v>0</v>
      </c>
      <c r="O18" s="20">
        <f>0</f>
        <v>0</v>
      </c>
      <c r="P18" s="20">
        <f>0</f>
        <v>0</v>
      </c>
      <c r="Q18" s="20">
        <f>0</f>
        <v>0</v>
      </c>
    </row>
    <row r="19" spans="1:17" ht="21.75" customHeight="1">
      <c r="A19" s="15" t="s">
        <v>47</v>
      </c>
      <c r="B19" s="20">
        <f>6361921402.68</f>
        <v>6361921402.68</v>
      </c>
      <c r="C19" s="20">
        <f>6361921402.68</f>
        <v>6361921402.68</v>
      </c>
      <c r="D19" s="20">
        <f>257395755.83</f>
        <v>257395755.83</v>
      </c>
      <c r="E19" s="20">
        <f>189917325.32</f>
        <v>189917325.32</v>
      </c>
      <c r="F19" s="20">
        <f>26958251.31</f>
        <v>26958251.31</v>
      </c>
      <c r="G19" s="20">
        <f>40520179.2</f>
        <v>40520179.2</v>
      </c>
      <c r="H19" s="20">
        <f>0</f>
        <v>0</v>
      </c>
      <c r="I19" s="20">
        <f>0</f>
        <v>0</v>
      </c>
      <c r="J19" s="20">
        <f>5997101906.3</f>
        <v>5997101906.3</v>
      </c>
      <c r="K19" s="20">
        <f>102178235.4</f>
        <v>102178235.4</v>
      </c>
      <c r="L19" s="20">
        <f>4096512.44</f>
        <v>4096512.44</v>
      </c>
      <c r="M19" s="20">
        <f>1093576.05</f>
        <v>1093576.05</v>
      </c>
      <c r="N19" s="20">
        <f>55416.66</f>
        <v>55416.66</v>
      </c>
      <c r="O19" s="20">
        <f>0</f>
        <v>0</v>
      </c>
      <c r="P19" s="20">
        <f>0</f>
        <v>0</v>
      </c>
      <c r="Q19" s="20">
        <f>0</f>
        <v>0</v>
      </c>
    </row>
    <row r="20" spans="1:17" ht="21.75" customHeight="1">
      <c r="A20" s="15" t="s">
        <v>48</v>
      </c>
      <c r="B20" s="20">
        <f>0</f>
        <v>0</v>
      </c>
      <c r="C20" s="20">
        <f>0</f>
        <v>0</v>
      </c>
      <c r="D20" s="20">
        <f>0</f>
        <v>0</v>
      </c>
      <c r="E20" s="20">
        <f>0</f>
        <v>0</v>
      </c>
      <c r="F20" s="20">
        <f>0</f>
        <v>0</v>
      </c>
      <c r="G20" s="20">
        <f>0</f>
        <v>0</v>
      </c>
      <c r="H20" s="20">
        <f>0</f>
        <v>0</v>
      </c>
      <c r="I20" s="20">
        <f>0</f>
        <v>0</v>
      </c>
      <c r="J20" s="20">
        <f>0</f>
        <v>0</v>
      </c>
      <c r="K20" s="20">
        <f>0</f>
        <v>0</v>
      </c>
      <c r="L20" s="20">
        <f>0</f>
        <v>0</v>
      </c>
      <c r="M20" s="20">
        <f>0</f>
        <v>0</v>
      </c>
      <c r="N20" s="20">
        <f>0</f>
        <v>0</v>
      </c>
      <c r="O20" s="20">
        <f>0</f>
        <v>0</v>
      </c>
      <c r="P20" s="20">
        <f>0</f>
        <v>0</v>
      </c>
      <c r="Q20" s="20">
        <f>0</f>
        <v>0</v>
      </c>
    </row>
    <row r="21" spans="1:17" ht="24.75" customHeight="1">
      <c r="A21" s="18" t="s">
        <v>76</v>
      </c>
      <c r="B21" s="19">
        <f>3512396.14</f>
        <v>3512396.14</v>
      </c>
      <c r="C21" s="19">
        <f>3512396.14</f>
        <v>3512396.14</v>
      </c>
      <c r="D21" s="19">
        <f>2287619.81</f>
        <v>2287619.81</v>
      </c>
      <c r="E21" s="19">
        <f>1817850.85</f>
        <v>1817850.85</v>
      </c>
      <c r="F21" s="19">
        <f>0</f>
        <v>0</v>
      </c>
      <c r="G21" s="19">
        <f>41957.54</f>
        <v>41957.54</v>
      </c>
      <c r="H21" s="19">
        <f>427811.42</f>
        <v>427811.42</v>
      </c>
      <c r="I21" s="19">
        <f>0</f>
        <v>0</v>
      </c>
      <c r="J21" s="19">
        <f>48000</f>
        <v>48000</v>
      </c>
      <c r="K21" s="19">
        <f>62116.78</f>
        <v>62116.78</v>
      </c>
      <c r="L21" s="19">
        <f>619948.73</f>
        <v>619948.73</v>
      </c>
      <c r="M21" s="19">
        <f>494320.82</f>
        <v>494320.82</v>
      </c>
      <c r="N21" s="19">
        <f>390</f>
        <v>390</v>
      </c>
      <c r="O21" s="19">
        <f>0</f>
        <v>0</v>
      </c>
      <c r="P21" s="19">
        <f>0</f>
        <v>0</v>
      </c>
      <c r="Q21" s="19">
        <f>0</f>
        <v>0</v>
      </c>
    </row>
    <row r="22" spans="1:17" ht="22.5">
      <c r="A22" s="15" t="s">
        <v>49</v>
      </c>
      <c r="B22" s="20">
        <f>733566.12</f>
        <v>733566.12</v>
      </c>
      <c r="C22" s="20">
        <f>733566.12</f>
        <v>733566.12</v>
      </c>
      <c r="D22" s="20">
        <f>2728.2</f>
        <v>2728.2</v>
      </c>
      <c r="E22" s="20">
        <f>0</f>
        <v>0</v>
      </c>
      <c r="F22" s="20">
        <f>0</f>
        <v>0</v>
      </c>
      <c r="G22" s="20">
        <f>2728.2</f>
        <v>2728.2</v>
      </c>
      <c r="H22" s="20">
        <f>0</f>
        <v>0</v>
      </c>
      <c r="I22" s="20">
        <f>0</f>
        <v>0</v>
      </c>
      <c r="J22" s="20">
        <f>48000</f>
        <v>48000</v>
      </c>
      <c r="K22" s="20">
        <f>980.4</f>
        <v>980.4</v>
      </c>
      <c r="L22" s="20">
        <f>619398.61</f>
        <v>619398.61</v>
      </c>
      <c r="M22" s="20">
        <f>62458.91</f>
        <v>62458.91</v>
      </c>
      <c r="N22" s="20">
        <f>0</f>
        <v>0</v>
      </c>
      <c r="O22" s="20">
        <f>0</f>
        <v>0</v>
      </c>
      <c r="P22" s="20">
        <f>0</f>
        <v>0</v>
      </c>
      <c r="Q22" s="20">
        <f>0</f>
        <v>0</v>
      </c>
    </row>
    <row r="23" spans="1:17" ht="23.25" customHeight="1">
      <c r="A23" s="15" t="s">
        <v>50</v>
      </c>
      <c r="B23" s="20">
        <f>2778830.02</f>
        <v>2778830.02</v>
      </c>
      <c r="C23" s="20">
        <f>2778830.02</f>
        <v>2778830.02</v>
      </c>
      <c r="D23" s="20">
        <f>2284891.61</f>
        <v>2284891.61</v>
      </c>
      <c r="E23" s="20">
        <f>1817850.85</f>
        <v>1817850.85</v>
      </c>
      <c r="F23" s="20">
        <f>0</f>
        <v>0</v>
      </c>
      <c r="G23" s="20">
        <f>39229.34</f>
        <v>39229.34</v>
      </c>
      <c r="H23" s="20">
        <f>427811.42</f>
        <v>427811.42</v>
      </c>
      <c r="I23" s="20">
        <f>0</f>
        <v>0</v>
      </c>
      <c r="J23" s="20">
        <f>0</f>
        <v>0</v>
      </c>
      <c r="K23" s="20">
        <f>61136.38</f>
        <v>61136.38</v>
      </c>
      <c r="L23" s="20">
        <f>550.12</f>
        <v>550.12</v>
      </c>
      <c r="M23" s="20">
        <f>431861.91</f>
        <v>431861.91</v>
      </c>
      <c r="N23" s="20">
        <f>390</f>
        <v>390</v>
      </c>
      <c r="O23" s="20">
        <f>0</f>
        <v>0</v>
      </c>
      <c r="P23" s="20">
        <f>0</f>
        <v>0</v>
      </c>
      <c r="Q23" s="20">
        <f>0</f>
        <v>0</v>
      </c>
    </row>
    <row r="24" spans="1:17" ht="19.5" customHeight="1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9.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9.5" customHeight="1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3" ht="45.75" customHeight="1">
      <c r="A27" s="29" t="s">
        <v>78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9" spans="1:13" ht="13.5" customHeight="1">
      <c r="A29" s="39" t="s">
        <v>8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1" spans="1:17" ht="13.5" customHeight="1">
      <c r="A31" s="72" t="s">
        <v>0</v>
      </c>
      <c r="B31" s="30" t="s">
        <v>9</v>
      </c>
      <c r="C31" s="75" t="s">
        <v>11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7"/>
      <c r="O31" s="75" t="s">
        <v>21</v>
      </c>
      <c r="P31" s="76"/>
      <c r="Q31" s="77"/>
    </row>
    <row r="32" spans="1:17" ht="13.5" customHeight="1">
      <c r="A32" s="73"/>
      <c r="B32" s="31"/>
      <c r="C32" s="31" t="s">
        <v>10</v>
      </c>
      <c r="D32" s="28" t="s">
        <v>12</v>
      </c>
      <c r="E32" s="28" t="s">
        <v>22</v>
      </c>
      <c r="F32" s="28" t="s">
        <v>23</v>
      </c>
      <c r="G32" s="28" t="s">
        <v>68</v>
      </c>
      <c r="H32" s="28" t="s">
        <v>25</v>
      </c>
      <c r="I32" s="28" t="s">
        <v>1</v>
      </c>
      <c r="J32" s="28" t="s">
        <v>13</v>
      </c>
      <c r="K32" s="28" t="s">
        <v>14</v>
      </c>
      <c r="L32" s="28" t="s">
        <v>15</v>
      </c>
      <c r="M32" s="28" t="s">
        <v>16</v>
      </c>
      <c r="N32" s="33" t="s">
        <v>17</v>
      </c>
      <c r="O32" s="28" t="s">
        <v>18</v>
      </c>
      <c r="P32" s="28" t="s">
        <v>19</v>
      </c>
      <c r="Q32" s="30" t="s">
        <v>20</v>
      </c>
    </row>
    <row r="33" spans="1:17" ht="13.5" customHeight="1">
      <c r="A33" s="73"/>
      <c r="B33" s="31"/>
      <c r="C33" s="31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33"/>
      <c r="O33" s="28"/>
      <c r="P33" s="28"/>
      <c r="Q33" s="31"/>
    </row>
    <row r="34" spans="1:17" ht="11.25" customHeight="1">
      <c r="A34" s="73"/>
      <c r="B34" s="31"/>
      <c r="C34" s="31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33"/>
      <c r="O34" s="28"/>
      <c r="P34" s="28"/>
      <c r="Q34" s="31"/>
    </row>
    <row r="35" spans="1:17" ht="41.25" customHeight="1">
      <c r="A35" s="74"/>
      <c r="B35" s="32"/>
      <c r="C35" s="32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33"/>
      <c r="O35" s="28"/>
      <c r="P35" s="28"/>
      <c r="Q35" s="32"/>
    </row>
    <row r="36" spans="1:17" ht="15.75" customHeight="1">
      <c r="A36" s="10">
        <v>1</v>
      </c>
      <c r="B36" s="10">
        <v>2</v>
      </c>
      <c r="C36" s="10">
        <v>3</v>
      </c>
      <c r="D36" s="10">
        <v>4</v>
      </c>
      <c r="E36" s="10">
        <v>5</v>
      </c>
      <c r="F36" s="10">
        <v>6</v>
      </c>
      <c r="G36" s="10">
        <v>7</v>
      </c>
      <c r="H36" s="10">
        <v>8</v>
      </c>
      <c r="I36" s="10">
        <v>9</v>
      </c>
      <c r="J36" s="10">
        <v>10</v>
      </c>
      <c r="K36" s="10">
        <v>11</v>
      </c>
      <c r="L36" s="10">
        <v>12</v>
      </c>
      <c r="M36" s="10">
        <v>13</v>
      </c>
      <c r="N36" s="10">
        <v>14</v>
      </c>
      <c r="O36" s="10">
        <v>15</v>
      </c>
      <c r="P36" s="10">
        <v>16</v>
      </c>
      <c r="Q36" s="10">
        <v>17</v>
      </c>
    </row>
    <row r="37" spans="1:17" ht="12" customHeight="1">
      <c r="A37" s="10"/>
      <c r="B37" s="78" t="s">
        <v>73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7"/>
    </row>
    <row r="38" spans="1:17" ht="27.75" customHeight="1" hidden="1">
      <c r="A38" s="11" t="s">
        <v>26</v>
      </c>
      <c r="B38" s="12">
        <f>0</f>
        <v>0</v>
      </c>
      <c r="C38" s="12">
        <f>0</f>
        <v>0</v>
      </c>
      <c r="D38" s="12">
        <f>0</f>
        <v>0</v>
      </c>
      <c r="E38" s="12">
        <f>0</f>
        <v>0</v>
      </c>
      <c r="F38" s="12">
        <f>0</f>
        <v>0</v>
      </c>
      <c r="G38" s="12">
        <f>0</f>
        <v>0</v>
      </c>
      <c r="H38" s="12">
        <f>0</f>
        <v>0</v>
      </c>
      <c r="I38" s="12">
        <f>0</f>
        <v>0</v>
      </c>
      <c r="J38" s="12">
        <f>0</f>
        <v>0</v>
      </c>
      <c r="K38" s="12">
        <f>0</f>
        <v>0</v>
      </c>
      <c r="L38" s="12">
        <f>0</f>
        <v>0</v>
      </c>
      <c r="M38" s="12">
        <f>0</f>
        <v>0</v>
      </c>
      <c r="N38" s="12">
        <f>0</f>
        <v>0</v>
      </c>
      <c r="O38" s="12">
        <f>0</f>
        <v>0</v>
      </c>
      <c r="P38" s="12">
        <f>0</f>
        <v>0</v>
      </c>
      <c r="Q38" s="12">
        <f>0</f>
        <v>0</v>
      </c>
    </row>
    <row r="39" spans="1:17" ht="30" customHeight="1">
      <c r="A39" s="23" t="s">
        <v>38</v>
      </c>
      <c r="B39" s="21">
        <f>3800000</f>
        <v>3800000</v>
      </c>
      <c r="C39" s="21">
        <f>3800000</f>
        <v>3800000</v>
      </c>
      <c r="D39" s="21">
        <f>50000</f>
        <v>50000</v>
      </c>
      <c r="E39" s="21">
        <f>50000</f>
        <v>50000</v>
      </c>
      <c r="F39" s="21">
        <f>0</f>
        <v>0</v>
      </c>
      <c r="G39" s="21">
        <f>0</f>
        <v>0</v>
      </c>
      <c r="H39" s="21">
        <f>0</f>
        <v>0</v>
      </c>
      <c r="I39" s="21">
        <f>0</f>
        <v>0</v>
      </c>
      <c r="J39" s="21">
        <f>0</f>
        <v>0</v>
      </c>
      <c r="K39" s="21">
        <f>0</f>
        <v>0</v>
      </c>
      <c r="L39" s="21">
        <f>3750000</f>
        <v>3750000</v>
      </c>
      <c r="M39" s="21">
        <f>0</f>
        <v>0</v>
      </c>
      <c r="N39" s="21">
        <f>0</f>
        <v>0</v>
      </c>
      <c r="O39" s="21">
        <f>0</f>
        <v>0</v>
      </c>
      <c r="P39" s="21">
        <f>0</f>
        <v>0</v>
      </c>
      <c r="Q39" s="21">
        <f>0</f>
        <v>0</v>
      </c>
    </row>
    <row r="40" spans="1:17" ht="25.5" customHeight="1">
      <c r="A40" s="16" t="s">
        <v>27</v>
      </c>
      <c r="B40" s="22">
        <f>0</f>
        <v>0</v>
      </c>
      <c r="C40" s="22">
        <f>0</f>
        <v>0</v>
      </c>
      <c r="D40" s="22">
        <f>0</f>
        <v>0</v>
      </c>
      <c r="E40" s="22">
        <f>0</f>
        <v>0</v>
      </c>
      <c r="F40" s="22">
        <f>0</f>
        <v>0</v>
      </c>
      <c r="G40" s="22">
        <f>0</f>
        <v>0</v>
      </c>
      <c r="H40" s="22">
        <f>0</f>
        <v>0</v>
      </c>
      <c r="I40" s="22">
        <f>0</f>
        <v>0</v>
      </c>
      <c r="J40" s="22">
        <f>0</f>
        <v>0</v>
      </c>
      <c r="K40" s="22">
        <f>0</f>
        <v>0</v>
      </c>
      <c r="L40" s="22">
        <f>0</f>
        <v>0</v>
      </c>
      <c r="M40" s="22">
        <f>0</f>
        <v>0</v>
      </c>
      <c r="N40" s="22">
        <f>0</f>
        <v>0</v>
      </c>
      <c r="O40" s="22">
        <f>0</f>
        <v>0</v>
      </c>
      <c r="P40" s="22">
        <f>0</f>
        <v>0</v>
      </c>
      <c r="Q40" s="22">
        <f>0</f>
        <v>0</v>
      </c>
    </row>
    <row r="41" spans="1:17" ht="25.5" customHeight="1">
      <c r="A41" s="16" t="s">
        <v>28</v>
      </c>
      <c r="B41" s="22">
        <f>3800000</f>
        <v>3800000</v>
      </c>
      <c r="C41" s="22">
        <f>3800000</f>
        <v>3800000</v>
      </c>
      <c r="D41" s="22">
        <f>50000</f>
        <v>50000</v>
      </c>
      <c r="E41" s="22">
        <f>50000</f>
        <v>50000</v>
      </c>
      <c r="F41" s="22">
        <f>0</f>
        <v>0</v>
      </c>
      <c r="G41" s="22">
        <f>0</f>
        <v>0</v>
      </c>
      <c r="H41" s="22">
        <f>0</f>
        <v>0</v>
      </c>
      <c r="I41" s="22">
        <f>0</f>
        <v>0</v>
      </c>
      <c r="J41" s="22">
        <f>0</f>
        <v>0</v>
      </c>
      <c r="K41" s="22">
        <f>0</f>
        <v>0</v>
      </c>
      <c r="L41" s="22">
        <f>3750000</f>
        <v>3750000</v>
      </c>
      <c r="M41" s="22">
        <f>0</f>
        <v>0</v>
      </c>
      <c r="N41" s="22">
        <f>0</f>
        <v>0</v>
      </c>
      <c r="O41" s="22">
        <f>0</f>
        <v>0</v>
      </c>
      <c r="P41" s="22">
        <f>0</f>
        <v>0</v>
      </c>
      <c r="Q41" s="22">
        <f>0</f>
        <v>0</v>
      </c>
    </row>
    <row r="42" spans="1:17" ht="30" customHeight="1">
      <c r="A42" s="23" t="s">
        <v>39</v>
      </c>
      <c r="B42" s="21">
        <f>105236295.11</f>
        <v>105236295.11</v>
      </c>
      <c r="C42" s="21">
        <f>105236295.11</f>
        <v>105236295.11</v>
      </c>
      <c r="D42" s="21">
        <f>54540315.14</f>
        <v>54540315.14</v>
      </c>
      <c r="E42" s="21">
        <f>256160.7</f>
        <v>256160.7</v>
      </c>
      <c r="F42" s="21">
        <f>904085.75</f>
        <v>904085.75</v>
      </c>
      <c r="G42" s="21">
        <f>53380068.69</f>
        <v>53380068.69</v>
      </c>
      <c r="H42" s="21">
        <f>0</f>
        <v>0</v>
      </c>
      <c r="I42" s="21">
        <f>0</f>
        <v>0</v>
      </c>
      <c r="J42" s="21">
        <f>0</f>
        <v>0</v>
      </c>
      <c r="K42" s="21">
        <f>6224.21</f>
        <v>6224.21</v>
      </c>
      <c r="L42" s="21">
        <f>30784391.46</f>
        <v>30784391.46</v>
      </c>
      <c r="M42" s="21">
        <f>18398905</f>
        <v>18398905</v>
      </c>
      <c r="N42" s="21">
        <f>1506459.3</f>
        <v>1506459.3</v>
      </c>
      <c r="O42" s="21">
        <f>0</f>
        <v>0</v>
      </c>
      <c r="P42" s="21">
        <f>0</f>
        <v>0</v>
      </c>
      <c r="Q42" s="21">
        <f>0</f>
        <v>0</v>
      </c>
    </row>
    <row r="43" spans="1:17" ht="25.5" customHeight="1">
      <c r="A43" s="16" t="s">
        <v>29</v>
      </c>
      <c r="B43" s="22">
        <f>8001316.11</f>
        <v>8001316.11</v>
      </c>
      <c r="C43" s="22">
        <f>8001316.11</f>
        <v>8001316.11</v>
      </c>
      <c r="D43" s="22">
        <f>5841184.26</f>
        <v>5841184.26</v>
      </c>
      <c r="E43" s="22">
        <f>0</f>
        <v>0</v>
      </c>
      <c r="F43" s="22">
        <f>0</f>
        <v>0</v>
      </c>
      <c r="G43" s="22">
        <f>5841184.26</f>
        <v>5841184.26</v>
      </c>
      <c r="H43" s="22">
        <f>0</f>
        <v>0</v>
      </c>
      <c r="I43" s="22">
        <f>0</f>
        <v>0</v>
      </c>
      <c r="J43" s="22">
        <f>0</f>
        <v>0</v>
      </c>
      <c r="K43" s="22">
        <f>0</f>
        <v>0</v>
      </c>
      <c r="L43" s="22">
        <f>1299162.48</f>
        <v>1299162.48</v>
      </c>
      <c r="M43" s="22">
        <f>851621.37</f>
        <v>851621.37</v>
      </c>
      <c r="N43" s="22">
        <f>9348</f>
        <v>9348</v>
      </c>
      <c r="O43" s="22">
        <f>0</f>
        <v>0</v>
      </c>
      <c r="P43" s="22">
        <f>0</f>
        <v>0</v>
      </c>
      <c r="Q43" s="22">
        <f>0</f>
        <v>0</v>
      </c>
    </row>
    <row r="44" spans="1:17" ht="25.5" customHeight="1">
      <c r="A44" s="16" t="s">
        <v>30</v>
      </c>
      <c r="B44" s="22">
        <f>97234979</f>
        <v>97234979</v>
      </c>
      <c r="C44" s="22">
        <f>97234979</f>
        <v>97234979</v>
      </c>
      <c r="D44" s="22">
        <f>48699130.88</f>
        <v>48699130.88</v>
      </c>
      <c r="E44" s="22">
        <f>256160.7</f>
        <v>256160.7</v>
      </c>
      <c r="F44" s="22">
        <f>904085.75</f>
        <v>904085.75</v>
      </c>
      <c r="G44" s="22">
        <f>47538884.43</f>
        <v>47538884.43</v>
      </c>
      <c r="H44" s="22">
        <f>0</f>
        <v>0</v>
      </c>
      <c r="I44" s="22">
        <f>0</f>
        <v>0</v>
      </c>
      <c r="J44" s="22">
        <f>0</f>
        <v>0</v>
      </c>
      <c r="K44" s="22">
        <f>6224.21</f>
        <v>6224.21</v>
      </c>
      <c r="L44" s="22">
        <f>29485228.98</f>
        <v>29485228.98</v>
      </c>
      <c r="M44" s="22">
        <f>17547283.63</f>
        <v>17547283.63</v>
      </c>
      <c r="N44" s="22">
        <f>1497111.3</f>
        <v>1497111.3</v>
      </c>
      <c r="O44" s="22">
        <f>0</f>
        <v>0</v>
      </c>
      <c r="P44" s="22">
        <f>0</f>
        <v>0</v>
      </c>
      <c r="Q44" s="22">
        <f>0</f>
        <v>0</v>
      </c>
    </row>
    <row r="45" spans="1:17" ht="30" customHeight="1">
      <c r="A45" s="23" t="s">
        <v>40</v>
      </c>
      <c r="B45" s="21">
        <f>2394234741.25</f>
        <v>2394234741.25</v>
      </c>
      <c r="C45" s="21">
        <f>2394234741.25</f>
        <v>2394234741.25</v>
      </c>
      <c r="D45" s="21">
        <f>939462.35</f>
        <v>939462.35</v>
      </c>
      <c r="E45" s="21">
        <f>846976.91</f>
        <v>846976.91</v>
      </c>
      <c r="F45" s="21">
        <f>7309.35</f>
        <v>7309.35</v>
      </c>
      <c r="G45" s="21">
        <f>85176.09</f>
        <v>85176.09</v>
      </c>
      <c r="H45" s="21">
        <f>0</f>
        <v>0</v>
      </c>
      <c r="I45" s="21">
        <f>804798.45</f>
        <v>804798.45</v>
      </c>
      <c r="J45" s="21">
        <f>2392345772.3</f>
        <v>2392345772.3</v>
      </c>
      <c r="K45" s="21">
        <f>15092</f>
        <v>15092</v>
      </c>
      <c r="L45" s="21">
        <f>22218.77</f>
        <v>22218.77</v>
      </c>
      <c r="M45" s="21">
        <f>2000</f>
        <v>2000</v>
      </c>
      <c r="N45" s="21">
        <f>105397.38</f>
        <v>105397.38</v>
      </c>
      <c r="O45" s="21">
        <f>0</f>
        <v>0</v>
      </c>
      <c r="P45" s="21">
        <f>0</f>
        <v>0</v>
      </c>
      <c r="Q45" s="21">
        <f>0</f>
        <v>0</v>
      </c>
    </row>
    <row r="46" spans="1:17" ht="25.5" customHeight="1">
      <c r="A46" s="16" t="s">
        <v>31</v>
      </c>
      <c r="B46" s="22">
        <f>85164.09</f>
        <v>85164.09</v>
      </c>
      <c r="C46" s="22">
        <f>85164.09</f>
        <v>85164.09</v>
      </c>
      <c r="D46" s="22">
        <f>85164.09</f>
        <v>85164.09</v>
      </c>
      <c r="E46" s="22">
        <f>0</f>
        <v>0</v>
      </c>
      <c r="F46" s="22">
        <f>0</f>
        <v>0</v>
      </c>
      <c r="G46" s="22">
        <f>85164.09</f>
        <v>85164.09</v>
      </c>
      <c r="H46" s="22">
        <f>0</f>
        <v>0</v>
      </c>
      <c r="I46" s="22">
        <f>0</f>
        <v>0</v>
      </c>
      <c r="J46" s="22">
        <f>0</f>
        <v>0</v>
      </c>
      <c r="K46" s="22">
        <f>0</f>
        <v>0</v>
      </c>
      <c r="L46" s="22">
        <f>0</f>
        <v>0</v>
      </c>
      <c r="M46" s="22">
        <f>0</f>
        <v>0</v>
      </c>
      <c r="N46" s="22">
        <f>0</f>
        <v>0</v>
      </c>
      <c r="O46" s="22">
        <f>0</f>
        <v>0</v>
      </c>
      <c r="P46" s="22">
        <f>0</f>
        <v>0</v>
      </c>
      <c r="Q46" s="22">
        <f>0</f>
        <v>0</v>
      </c>
    </row>
    <row r="47" spans="1:17" ht="25.5" customHeight="1">
      <c r="A47" s="16" t="s">
        <v>32</v>
      </c>
      <c r="B47" s="22">
        <f>2346656232.95</f>
        <v>2346656232.95</v>
      </c>
      <c r="C47" s="22">
        <f>2346656232.95</f>
        <v>2346656232.95</v>
      </c>
      <c r="D47" s="22">
        <f>836489.26</f>
        <v>836489.26</v>
      </c>
      <c r="E47" s="22">
        <f>829167.91</f>
        <v>829167.91</v>
      </c>
      <c r="F47" s="22">
        <f>7309.35</f>
        <v>7309.35</v>
      </c>
      <c r="G47" s="22">
        <f>12</f>
        <v>12</v>
      </c>
      <c r="H47" s="22">
        <f>0</f>
        <v>0</v>
      </c>
      <c r="I47" s="22">
        <f>804798.45</f>
        <v>804798.45</v>
      </c>
      <c r="J47" s="22">
        <f>2344908048.71</f>
        <v>2344908048.71</v>
      </c>
      <c r="K47" s="22">
        <f>0</f>
        <v>0</v>
      </c>
      <c r="L47" s="22">
        <f>1499.15</f>
        <v>1499.15</v>
      </c>
      <c r="M47" s="22">
        <f>0</f>
        <v>0</v>
      </c>
      <c r="N47" s="22">
        <f>105397.38</f>
        <v>105397.38</v>
      </c>
      <c r="O47" s="22">
        <f>0</f>
        <v>0</v>
      </c>
      <c r="P47" s="22">
        <f>0</f>
        <v>0</v>
      </c>
      <c r="Q47" s="22">
        <f>0</f>
        <v>0</v>
      </c>
    </row>
    <row r="48" spans="1:17" ht="25.5" customHeight="1">
      <c r="A48" s="16" t="s">
        <v>33</v>
      </c>
      <c r="B48" s="22">
        <f>47493344.21</f>
        <v>47493344.21</v>
      </c>
      <c r="C48" s="22">
        <f>47493344.21</f>
        <v>47493344.21</v>
      </c>
      <c r="D48" s="22">
        <f>17809</f>
        <v>17809</v>
      </c>
      <c r="E48" s="22">
        <f>17809</f>
        <v>17809</v>
      </c>
      <c r="F48" s="22">
        <f>0</f>
        <v>0</v>
      </c>
      <c r="G48" s="22">
        <f>0</f>
        <v>0</v>
      </c>
      <c r="H48" s="22">
        <f>0</f>
        <v>0</v>
      </c>
      <c r="I48" s="22">
        <f>0</f>
        <v>0</v>
      </c>
      <c r="J48" s="22">
        <f>47437723.59</f>
        <v>47437723.59</v>
      </c>
      <c r="K48" s="22">
        <f>15092</f>
        <v>15092</v>
      </c>
      <c r="L48" s="22">
        <f>20719.62</f>
        <v>20719.62</v>
      </c>
      <c r="M48" s="22">
        <f>2000</f>
        <v>2000</v>
      </c>
      <c r="N48" s="22">
        <f>0</f>
        <v>0</v>
      </c>
      <c r="O48" s="22">
        <f>0</f>
        <v>0</v>
      </c>
      <c r="P48" s="22">
        <f>0</f>
        <v>0</v>
      </c>
      <c r="Q48" s="22">
        <f>0</f>
        <v>0</v>
      </c>
    </row>
    <row r="49" spans="1:17" ht="30" customHeight="1">
      <c r="A49" s="23" t="s">
        <v>41</v>
      </c>
      <c r="B49" s="21">
        <f>508320814.82</f>
        <v>508320814.82</v>
      </c>
      <c r="C49" s="21">
        <f>507648695.13</f>
        <v>507648695.13</v>
      </c>
      <c r="D49" s="21">
        <f>26398128.6</f>
        <v>26398128.6</v>
      </c>
      <c r="E49" s="21">
        <f>5671333.54</f>
        <v>5671333.54</v>
      </c>
      <c r="F49" s="21">
        <f>48638.09</f>
        <v>48638.09</v>
      </c>
      <c r="G49" s="21">
        <f>20082204.62</f>
        <v>20082204.62</v>
      </c>
      <c r="H49" s="21">
        <f>595952.35</f>
        <v>595952.35</v>
      </c>
      <c r="I49" s="21">
        <f>0</f>
        <v>0</v>
      </c>
      <c r="J49" s="21">
        <f>475292.52</f>
        <v>475292.52</v>
      </c>
      <c r="K49" s="21">
        <f>317297.19</f>
        <v>317297.19</v>
      </c>
      <c r="L49" s="21">
        <f>133308044.57</f>
        <v>133308044.57</v>
      </c>
      <c r="M49" s="21">
        <f>343467334.49</f>
        <v>343467334.49</v>
      </c>
      <c r="N49" s="21">
        <f>3682597.76</f>
        <v>3682597.76</v>
      </c>
      <c r="O49" s="21">
        <f>672119.69</f>
        <v>672119.69</v>
      </c>
      <c r="P49" s="21">
        <f>311476.12</f>
        <v>311476.12</v>
      </c>
      <c r="Q49" s="21">
        <f>360643.57</f>
        <v>360643.57</v>
      </c>
    </row>
    <row r="50" spans="1:17" ht="25.5" customHeight="1">
      <c r="A50" s="16" t="s">
        <v>34</v>
      </c>
      <c r="B50" s="22">
        <f>116949856.46</f>
        <v>116949856.46</v>
      </c>
      <c r="C50" s="22">
        <f>116908931.83</f>
        <v>116908931.83</v>
      </c>
      <c r="D50" s="22">
        <f>2572129.17</f>
        <v>2572129.17</v>
      </c>
      <c r="E50" s="22">
        <f>70971.58</f>
        <v>70971.58</v>
      </c>
      <c r="F50" s="22">
        <f>6342.95</f>
        <v>6342.95</v>
      </c>
      <c r="G50" s="22">
        <f>1907995.75</f>
        <v>1907995.75</v>
      </c>
      <c r="H50" s="22">
        <f>586818.89</f>
        <v>586818.89</v>
      </c>
      <c r="I50" s="22">
        <f>0</f>
        <v>0</v>
      </c>
      <c r="J50" s="22">
        <f>1927.32</f>
        <v>1927.32</v>
      </c>
      <c r="K50" s="22">
        <f>187279.81</f>
        <v>187279.81</v>
      </c>
      <c r="L50" s="22">
        <f>63807576.03</f>
        <v>63807576.03</v>
      </c>
      <c r="M50" s="22">
        <f>49206180.77</f>
        <v>49206180.77</v>
      </c>
      <c r="N50" s="22">
        <f>1133838.73</f>
        <v>1133838.73</v>
      </c>
      <c r="O50" s="22">
        <f>40924.63</f>
        <v>40924.63</v>
      </c>
      <c r="P50" s="22">
        <f>40566.63</f>
        <v>40566.63</v>
      </c>
      <c r="Q50" s="22">
        <f>358</f>
        <v>358</v>
      </c>
    </row>
    <row r="51" spans="1:17" ht="25.5" customHeight="1">
      <c r="A51" s="16" t="s">
        <v>35</v>
      </c>
      <c r="B51" s="22">
        <f>391370958.36</f>
        <v>391370958.36</v>
      </c>
      <c r="C51" s="22">
        <f>390739763.3</f>
        <v>390739763.3</v>
      </c>
      <c r="D51" s="22">
        <f>23825999.43</f>
        <v>23825999.43</v>
      </c>
      <c r="E51" s="22">
        <f>5600361.96</f>
        <v>5600361.96</v>
      </c>
      <c r="F51" s="22">
        <f>42295.14</f>
        <v>42295.14</v>
      </c>
      <c r="G51" s="22">
        <f>18174208.87</f>
        <v>18174208.87</v>
      </c>
      <c r="H51" s="22">
        <f>9133.46</f>
        <v>9133.46</v>
      </c>
      <c r="I51" s="22">
        <f>0</f>
        <v>0</v>
      </c>
      <c r="J51" s="22">
        <f>473365.2</f>
        <v>473365.2</v>
      </c>
      <c r="K51" s="22">
        <f>130017.38</f>
        <v>130017.38</v>
      </c>
      <c r="L51" s="22">
        <f>69500468.54</f>
        <v>69500468.54</v>
      </c>
      <c r="M51" s="22">
        <f>294261153.72</f>
        <v>294261153.72</v>
      </c>
      <c r="N51" s="22">
        <f>2548759.03</f>
        <v>2548759.03</v>
      </c>
      <c r="O51" s="22">
        <f>631195.06</f>
        <v>631195.06</v>
      </c>
      <c r="P51" s="22">
        <f>270909.49</f>
        <v>270909.49</v>
      </c>
      <c r="Q51" s="22">
        <f>360285.57</f>
        <v>360285.57</v>
      </c>
    </row>
    <row r="52" spans="1:17" ht="30" customHeight="1">
      <c r="A52" s="23" t="s">
        <v>42</v>
      </c>
      <c r="B52" s="21">
        <f>317216832.43</f>
        <v>317216832.43</v>
      </c>
      <c r="C52" s="21">
        <f>317190099.73</f>
        <v>317190099.73</v>
      </c>
      <c r="D52" s="21">
        <f>128514360.65</f>
        <v>128514360.65</v>
      </c>
      <c r="E52" s="21">
        <f>23324811.46</f>
        <v>23324811.46</v>
      </c>
      <c r="F52" s="21">
        <f>3581189.19</f>
        <v>3581189.19</v>
      </c>
      <c r="G52" s="21">
        <f>99108813.05</f>
        <v>99108813.05</v>
      </c>
      <c r="H52" s="21">
        <f>2499546.95</f>
        <v>2499546.95</v>
      </c>
      <c r="I52" s="21">
        <f>0</f>
        <v>0</v>
      </c>
      <c r="J52" s="21">
        <f>225877.94</f>
        <v>225877.94</v>
      </c>
      <c r="K52" s="21">
        <f>4614641.43</f>
        <v>4614641.43</v>
      </c>
      <c r="L52" s="21">
        <f>130345705.72</f>
        <v>130345705.72</v>
      </c>
      <c r="M52" s="21">
        <f>48399919.13</f>
        <v>48399919.13</v>
      </c>
      <c r="N52" s="21">
        <f>5089594.86</f>
        <v>5089594.86</v>
      </c>
      <c r="O52" s="21">
        <f>26732.7</f>
        <v>26732.7</v>
      </c>
      <c r="P52" s="21">
        <f>26732.7</f>
        <v>26732.7</v>
      </c>
      <c r="Q52" s="21">
        <f>0</f>
        <v>0</v>
      </c>
    </row>
    <row r="53" spans="1:17" ht="31.5" customHeight="1">
      <c r="A53" s="16" t="s">
        <v>36</v>
      </c>
      <c r="B53" s="22">
        <f>37471820.38</f>
        <v>37471820.38</v>
      </c>
      <c r="C53" s="22">
        <f>37471682.92</f>
        <v>37471682.92</v>
      </c>
      <c r="D53" s="22">
        <f>10725536.95</f>
        <v>10725536.95</v>
      </c>
      <c r="E53" s="22">
        <f>129638.39</f>
        <v>129638.39</v>
      </c>
      <c r="F53" s="22">
        <f>86599.29</f>
        <v>86599.29</v>
      </c>
      <c r="G53" s="22">
        <f>10480181.54</f>
        <v>10480181.54</v>
      </c>
      <c r="H53" s="22">
        <f>29117.73</f>
        <v>29117.73</v>
      </c>
      <c r="I53" s="22">
        <f>0</f>
        <v>0</v>
      </c>
      <c r="J53" s="22">
        <f>7689.66</f>
        <v>7689.66</v>
      </c>
      <c r="K53" s="22">
        <f>53276.91</f>
        <v>53276.91</v>
      </c>
      <c r="L53" s="22">
        <f>18485305.44</f>
        <v>18485305.44</v>
      </c>
      <c r="M53" s="22">
        <f>7885421.03</f>
        <v>7885421.03</v>
      </c>
      <c r="N53" s="22">
        <f>314452.93</f>
        <v>314452.93</v>
      </c>
      <c r="O53" s="22">
        <f>137.46</f>
        <v>137.46</v>
      </c>
      <c r="P53" s="22">
        <f>137.46</f>
        <v>137.46</v>
      </c>
      <c r="Q53" s="22">
        <f>0</f>
        <v>0</v>
      </c>
    </row>
    <row r="54" spans="1:17" ht="35.25" customHeight="1">
      <c r="A54" s="16" t="s">
        <v>77</v>
      </c>
      <c r="B54" s="22">
        <f>19062438.18</f>
        <v>19062438.18</v>
      </c>
      <c r="C54" s="22">
        <f>19062438.18</f>
        <v>19062438.18</v>
      </c>
      <c r="D54" s="22">
        <f>18932447.34</f>
        <v>18932447.34</v>
      </c>
      <c r="E54" s="22">
        <f>17184049.7</f>
        <v>17184049.7</v>
      </c>
      <c r="F54" s="22">
        <f>1084322</f>
        <v>1084322</v>
      </c>
      <c r="G54" s="22">
        <f>373922.27</f>
        <v>373922.27</v>
      </c>
      <c r="H54" s="22">
        <f>290153.37</f>
        <v>290153.37</v>
      </c>
      <c r="I54" s="22">
        <f>0</f>
        <v>0</v>
      </c>
      <c r="J54" s="22">
        <f>0</f>
        <v>0</v>
      </c>
      <c r="K54" s="22">
        <f>14738.67</f>
        <v>14738.67</v>
      </c>
      <c r="L54" s="22">
        <f>24939.33</f>
        <v>24939.33</v>
      </c>
      <c r="M54" s="22">
        <f>78409.05</f>
        <v>78409.05</v>
      </c>
      <c r="N54" s="22">
        <f>11903.79</f>
        <v>11903.79</v>
      </c>
      <c r="O54" s="22">
        <f>0</f>
        <v>0</v>
      </c>
      <c r="P54" s="22">
        <f>0</f>
        <v>0</v>
      </c>
      <c r="Q54" s="22">
        <f>0</f>
        <v>0</v>
      </c>
    </row>
    <row r="55" spans="1:17" ht="31.5" customHeight="1">
      <c r="A55" s="16" t="s">
        <v>37</v>
      </c>
      <c r="B55" s="22">
        <f>260682573.87</f>
        <v>260682573.87</v>
      </c>
      <c r="C55" s="22">
        <f>260655978.63</f>
        <v>260655978.63</v>
      </c>
      <c r="D55" s="22">
        <f>98856376.36</f>
        <v>98856376.36</v>
      </c>
      <c r="E55" s="22">
        <f>6011123.37</f>
        <v>6011123.37</v>
      </c>
      <c r="F55" s="22">
        <f>2410267.9</f>
        <v>2410267.9</v>
      </c>
      <c r="G55" s="22">
        <f>88254709.24</f>
        <v>88254709.24</v>
      </c>
      <c r="H55" s="22">
        <f>2180275.85</f>
        <v>2180275.85</v>
      </c>
      <c r="I55" s="22">
        <f>0</f>
        <v>0</v>
      </c>
      <c r="J55" s="22">
        <f>218188.28</f>
        <v>218188.28</v>
      </c>
      <c r="K55" s="22">
        <f>4546625.85</f>
        <v>4546625.85</v>
      </c>
      <c r="L55" s="22">
        <f>111835460.95</f>
        <v>111835460.95</v>
      </c>
      <c r="M55" s="22">
        <f>40436089.05</f>
        <v>40436089.05</v>
      </c>
      <c r="N55" s="22">
        <f>4763238.14</f>
        <v>4763238.14</v>
      </c>
      <c r="O55" s="22">
        <f>26595.24</f>
        <v>26595.24</v>
      </c>
      <c r="P55" s="22">
        <f>26595.24</f>
        <v>26595.24</v>
      </c>
      <c r="Q55" s="22">
        <f>0</f>
        <v>0</v>
      </c>
    </row>
    <row r="64" spans="1:13" ht="66" customHeight="1">
      <c r="A64" s="29" t="s">
        <v>78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</row>
    <row r="65" spans="2:13" ht="13.5" customHeight="1">
      <c r="B65" s="39" t="s">
        <v>2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7" spans="2:12" ht="13.5" customHeight="1">
      <c r="B67" s="43" t="s">
        <v>0</v>
      </c>
      <c r="C67" s="44"/>
      <c r="D67" s="44"/>
      <c r="E67" s="45"/>
      <c r="F67" s="65" t="s">
        <v>66</v>
      </c>
      <c r="G67" s="40" t="s">
        <v>72</v>
      </c>
      <c r="H67" s="54"/>
      <c r="I67" s="54"/>
      <c r="J67" s="54"/>
      <c r="K67" s="54"/>
      <c r="L67" s="41"/>
    </row>
    <row r="68" spans="2:12" ht="13.5" customHeight="1">
      <c r="B68" s="46"/>
      <c r="C68" s="47"/>
      <c r="D68" s="47"/>
      <c r="E68" s="48"/>
      <c r="F68" s="66"/>
      <c r="G68" s="68" t="s">
        <v>67</v>
      </c>
      <c r="H68" s="42" t="s">
        <v>64</v>
      </c>
      <c r="I68" s="42" t="s">
        <v>65</v>
      </c>
      <c r="J68" s="42" t="s">
        <v>68</v>
      </c>
      <c r="K68" s="42" t="s">
        <v>69</v>
      </c>
      <c r="L68" s="83" t="s">
        <v>70</v>
      </c>
    </row>
    <row r="69" spans="2:12" ht="13.5" customHeight="1">
      <c r="B69" s="46"/>
      <c r="C69" s="47"/>
      <c r="D69" s="47"/>
      <c r="E69" s="48"/>
      <c r="F69" s="66"/>
      <c r="G69" s="68"/>
      <c r="H69" s="42"/>
      <c r="I69" s="42"/>
      <c r="J69" s="42"/>
      <c r="K69" s="42"/>
      <c r="L69" s="83"/>
    </row>
    <row r="70" spans="2:12" ht="11.25" customHeight="1">
      <c r="B70" s="46"/>
      <c r="C70" s="47"/>
      <c r="D70" s="47"/>
      <c r="E70" s="48"/>
      <c r="F70" s="66"/>
      <c r="G70" s="68"/>
      <c r="H70" s="42"/>
      <c r="I70" s="42"/>
      <c r="J70" s="42"/>
      <c r="K70" s="42"/>
      <c r="L70" s="83"/>
    </row>
    <row r="71" spans="2:12" ht="11.25" customHeight="1">
      <c r="B71" s="49"/>
      <c r="C71" s="50"/>
      <c r="D71" s="50"/>
      <c r="E71" s="51"/>
      <c r="F71" s="67"/>
      <c r="G71" s="68"/>
      <c r="H71" s="42"/>
      <c r="I71" s="42"/>
      <c r="J71" s="42"/>
      <c r="K71" s="42"/>
      <c r="L71" s="83"/>
    </row>
    <row r="72" spans="2:12" ht="11.25" customHeight="1">
      <c r="B72" s="42">
        <v>1</v>
      </c>
      <c r="C72" s="42"/>
      <c r="D72" s="42"/>
      <c r="E72" s="42"/>
      <c r="F72" s="3">
        <v>2</v>
      </c>
      <c r="G72" s="3">
        <v>3</v>
      </c>
      <c r="H72" s="3">
        <v>4</v>
      </c>
      <c r="I72" s="3">
        <v>5</v>
      </c>
      <c r="J72" s="3">
        <v>6</v>
      </c>
      <c r="K72" s="3">
        <v>7</v>
      </c>
      <c r="L72" s="3">
        <v>8</v>
      </c>
    </row>
    <row r="73" spans="2:12" ht="12.75" customHeight="1">
      <c r="B73" s="42"/>
      <c r="C73" s="42"/>
      <c r="D73" s="42"/>
      <c r="E73" s="42"/>
      <c r="F73" s="40" t="s">
        <v>73</v>
      </c>
      <c r="G73" s="81"/>
      <c r="H73" s="81"/>
      <c r="I73" s="81"/>
      <c r="J73" s="81"/>
      <c r="K73" s="81"/>
      <c r="L73" s="82"/>
    </row>
    <row r="74" spans="2:12" ht="33.75" customHeight="1">
      <c r="B74" s="34" t="s">
        <v>51</v>
      </c>
      <c r="C74" s="35"/>
      <c r="D74" s="35"/>
      <c r="E74" s="36"/>
      <c r="F74" s="24">
        <f>473367572.57</f>
        <v>473367572.57</v>
      </c>
      <c r="G74" s="24">
        <f>227271304.39</f>
        <v>227271304.39</v>
      </c>
      <c r="H74" s="24">
        <f>5305427.18</f>
        <v>5305427.18</v>
      </c>
      <c r="I74" s="24">
        <f>24212621</f>
        <v>24212621</v>
      </c>
      <c r="J74" s="24">
        <f>192641036.24</f>
        <v>192641036.24</v>
      </c>
      <c r="K74" s="24">
        <f>5112219.97</f>
        <v>5112219.97</v>
      </c>
      <c r="L74" s="24">
        <f>246096268.18</f>
        <v>246096268.18</v>
      </c>
    </row>
    <row r="75" spans="2:12" ht="33.75" customHeight="1">
      <c r="B75" s="34" t="s">
        <v>52</v>
      </c>
      <c r="C75" s="35"/>
      <c r="D75" s="35"/>
      <c r="E75" s="36"/>
      <c r="F75" s="24">
        <f>1670287.5</f>
        <v>1670287.5</v>
      </c>
      <c r="G75" s="24">
        <f>0</f>
        <v>0</v>
      </c>
      <c r="H75" s="24">
        <f>0</f>
        <v>0</v>
      </c>
      <c r="I75" s="24">
        <f>0</f>
        <v>0</v>
      </c>
      <c r="J75" s="24">
        <f>0</f>
        <v>0</v>
      </c>
      <c r="K75" s="24">
        <f>0</f>
        <v>0</v>
      </c>
      <c r="L75" s="24">
        <f>1670287.5</f>
        <v>1670287.5</v>
      </c>
    </row>
    <row r="76" spans="2:12" ht="33.75" customHeight="1">
      <c r="B76" s="34" t="s">
        <v>53</v>
      </c>
      <c r="C76" s="35"/>
      <c r="D76" s="35"/>
      <c r="E76" s="36"/>
      <c r="F76" s="24">
        <f>91600273.97</f>
        <v>91600273.97</v>
      </c>
      <c r="G76" s="24">
        <f>16104379</f>
        <v>16104379</v>
      </c>
      <c r="H76" s="24">
        <f>0</f>
        <v>0</v>
      </c>
      <c r="I76" s="24">
        <f>15000000</f>
        <v>15000000</v>
      </c>
      <c r="J76" s="24">
        <f>1104379</f>
        <v>1104379</v>
      </c>
      <c r="K76" s="24">
        <f>0</f>
        <v>0</v>
      </c>
      <c r="L76" s="24">
        <f>75495894.97</f>
        <v>75495894.97</v>
      </c>
    </row>
    <row r="77" spans="2:12" ht="22.5" customHeight="1">
      <c r="B77" s="34" t="s">
        <v>54</v>
      </c>
      <c r="C77" s="35"/>
      <c r="D77" s="35"/>
      <c r="E77" s="36"/>
      <c r="F77" s="24">
        <f>45970496.62</f>
        <v>45970496.62</v>
      </c>
      <c r="G77" s="24">
        <f>31805537.32</f>
        <v>31805537.32</v>
      </c>
      <c r="H77" s="24">
        <f>1178</f>
        <v>1178</v>
      </c>
      <c r="I77" s="24">
        <f>1823543.44</f>
        <v>1823543.44</v>
      </c>
      <c r="J77" s="24">
        <f>29980815.88</f>
        <v>29980815.88</v>
      </c>
      <c r="K77" s="24">
        <f>0</f>
        <v>0</v>
      </c>
      <c r="L77" s="24">
        <f>14164959.3</f>
        <v>14164959.3</v>
      </c>
    </row>
    <row r="78" spans="2:12" ht="33.75" customHeight="1">
      <c r="B78" s="34" t="s">
        <v>55</v>
      </c>
      <c r="C78" s="35"/>
      <c r="D78" s="35"/>
      <c r="E78" s="36"/>
      <c r="F78" s="24">
        <f>8938320.37</f>
        <v>8938320.37</v>
      </c>
      <c r="G78" s="24">
        <f>8890088.2</f>
        <v>8890088.2</v>
      </c>
      <c r="H78" s="24">
        <f>0</f>
        <v>0</v>
      </c>
      <c r="I78" s="24">
        <f>0</f>
        <v>0</v>
      </c>
      <c r="J78" s="24">
        <f>8890088.2</f>
        <v>8890088.2</v>
      </c>
      <c r="K78" s="24">
        <f>0</f>
        <v>0</v>
      </c>
      <c r="L78" s="24">
        <f>48232.17</f>
        <v>48232.17</v>
      </c>
    </row>
    <row r="79" spans="2:12" ht="33.75" customHeight="1">
      <c r="B79" s="34" t="s">
        <v>56</v>
      </c>
      <c r="C79" s="35"/>
      <c r="D79" s="35"/>
      <c r="E79" s="36"/>
      <c r="F79" s="24">
        <f>6729243.98</f>
        <v>6729243.98</v>
      </c>
      <c r="G79" s="24">
        <f>3599347.43</f>
        <v>3599347.43</v>
      </c>
      <c r="H79" s="24">
        <f>0</f>
        <v>0</v>
      </c>
      <c r="I79" s="24">
        <f>0</f>
        <v>0</v>
      </c>
      <c r="J79" s="24">
        <f>3599347.43</f>
        <v>3599347.43</v>
      </c>
      <c r="K79" s="24">
        <f>0</f>
        <v>0</v>
      </c>
      <c r="L79" s="24">
        <f>3129896.55</f>
        <v>3129896.55</v>
      </c>
    </row>
    <row r="80" spans="2:12" ht="22.5" customHeight="1">
      <c r="B80" s="34" t="s">
        <v>57</v>
      </c>
      <c r="C80" s="35"/>
      <c r="D80" s="35"/>
      <c r="E80" s="36"/>
      <c r="F80" s="24">
        <f>2781675.15</f>
        <v>2781675.15</v>
      </c>
      <c r="G80" s="24">
        <f>2781675.15</f>
        <v>2781675.15</v>
      </c>
      <c r="H80" s="24">
        <f>0</f>
        <v>0</v>
      </c>
      <c r="I80" s="24">
        <f>0</f>
        <v>0</v>
      </c>
      <c r="J80" s="24">
        <f>2781675.15</f>
        <v>2781675.15</v>
      </c>
      <c r="K80" s="24">
        <f>0</f>
        <v>0</v>
      </c>
      <c r="L80" s="24">
        <f>0</f>
        <v>0</v>
      </c>
    </row>
    <row r="83" spans="1:13" ht="75" customHeight="1">
      <c r="A83" s="29" t="s">
        <v>78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</row>
    <row r="84" ht="13.5" customHeight="1">
      <c r="B84" s="4"/>
    </row>
    <row r="85" spans="2:11" ht="13.5" customHeight="1">
      <c r="B85" s="5"/>
      <c r="C85" s="40"/>
      <c r="D85" s="54"/>
      <c r="E85" s="54"/>
      <c r="F85" s="41"/>
      <c r="G85" s="40" t="s">
        <v>3</v>
      </c>
      <c r="H85" s="41"/>
      <c r="I85" s="40" t="s">
        <v>4</v>
      </c>
      <c r="J85" s="41"/>
      <c r="K85" s="5"/>
    </row>
    <row r="86" spans="2:11" ht="13.5" customHeight="1">
      <c r="B86" s="6"/>
      <c r="C86" s="55" t="s">
        <v>5</v>
      </c>
      <c r="D86" s="56"/>
      <c r="E86" s="56"/>
      <c r="F86" s="57"/>
      <c r="G86" s="52">
        <f>109</f>
        <v>109</v>
      </c>
      <c r="H86" s="53"/>
      <c r="I86" s="37">
        <f>277817702.21</f>
        <v>277817702.21</v>
      </c>
      <c r="J86" s="38"/>
      <c r="K86" s="7"/>
    </row>
    <row r="87" spans="2:11" ht="13.5" customHeight="1">
      <c r="B87" s="6"/>
      <c r="C87" s="58" t="s">
        <v>6</v>
      </c>
      <c r="D87" s="59"/>
      <c r="E87" s="59"/>
      <c r="F87" s="60"/>
      <c r="G87" s="61">
        <f>205</f>
        <v>205</v>
      </c>
      <c r="H87" s="62"/>
      <c r="I87" s="63">
        <f>-975041280.89</f>
        <v>-975041280.89</v>
      </c>
      <c r="J87" s="64"/>
      <c r="K87" s="7"/>
    </row>
    <row r="88" spans="2:11" ht="13.5" customHeight="1">
      <c r="B88" s="6"/>
      <c r="C88" s="55" t="s">
        <v>7</v>
      </c>
      <c r="D88" s="56"/>
      <c r="E88" s="56"/>
      <c r="F88" s="57"/>
      <c r="G88" s="52">
        <f>0</f>
        <v>0</v>
      </c>
      <c r="H88" s="53"/>
      <c r="I88" s="37">
        <f>0</f>
        <v>0</v>
      </c>
      <c r="J88" s="38"/>
      <c r="K88" s="7"/>
    </row>
  </sheetData>
  <sheetProtection/>
  <mergeCells count="79">
    <mergeCell ref="B12:Q12"/>
    <mergeCell ref="B37:Q37"/>
    <mergeCell ref="B72:E72"/>
    <mergeCell ref="F73:L73"/>
    <mergeCell ref="L68:L71"/>
    <mergeCell ref="F32:F35"/>
    <mergeCell ref="G32:G35"/>
    <mergeCell ref="H32:H35"/>
    <mergeCell ref="K32:K35"/>
    <mergeCell ref="I32:I35"/>
    <mergeCell ref="J32:J35"/>
    <mergeCell ref="A31:A35"/>
    <mergeCell ref="C32:C35"/>
    <mergeCell ref="E32:E35"/>
    <mergeCell ref="B31:B35"/>
    <mergeCell ref="K68:K71"/>
    <mergeCell ref="H68:H71"/>
    <mergeCell ref="I68:I71"/>
    <mergeCell ref="J68:J71"/>
    <mergeCell ref="Q7:Q10"/>
    <mergeCell ref="C31:N31"/>
    <mergeCell ref="L7:L10"/>
    <mergeCell ref="M7:M10"/>
    <mergeCell ref="N7:N10"/>
    <mergeCell ref="P7:P10"/>
    <mergeCell ref="A27:M27"/>
    <mergeCell ref="O31:Q31"/>
    <mergeCell ref="A29:M29"/>
    <mergeCell ref="G7:G10"/>
    <mergeCell ref="F7:F10"/>
    <mergeCell ref="I7:I10"/>
    <mergeCell ref="J7:J10"/>
    <mergeCell ref="A1:M1"/>
    <mergeCell ref="C5:M5"/>
    <mergeCell ref="A3:M3"/>
    <mergeCell ref="K7:K10"/>
    <mergeCell ref="C7:C10"/>
    <mergeCell ref="B6:B10"/>
    <mergeCell ref="A6:A10"/>
    <mergeCell ref="C6:N6"/>
    <mergeCell ref="D7:D10"/>
    <mergeCell ref="E7:E10"/>
    <mergeCell ref="B78:E78"/>
    <mergeCell ref="B75:E75"/>
    <mergeCell ref="M32:M35"/>
    <mergeCell ref="B74:E74"/>
    <mergeCell ref="F67:F71"/>
    <mergeCell ref="G68:G71"/>
    <mergeCell ref="G67:L67"/>
    <mergeCell ref="G88:H88"/>
    <mergeCell ref="I88:J88"/>
    <mergeCell ref="C85:F85"/>
    <mergeCell ref="C86:F86"/>
    <mergeCell ref="C87:F87"/>
    <mergeCell ref="C88:F88"/>
    <mergeCell ref="G86:H86"/>
    <mergeCell ref="G85:H85"/>
    <mergeCell ref="G87:H87"/>
    <mergeCell ref="I87:J87"/>
    <mergeCell ref="B79:E79"/>
    <mergeCell ref="I86:J86"/>
    <mergeCell ref="B65:M65"/>
    <mergeCell ref="I85:J85"/>
    <mergeCell ref="B73:E73"/>
    <mergeCell ref="B67:E71"/>
    <mergeCell ref="B80:E80"/>
    <mergeCell ref="A83:M83"/>
    <mergeCell ref="B76:E76"/>
    <mergeCell ref="B77:E77"/>
    <mergeCell ref="O6:Q6"/>
    <mergeCell ref="O7:O10"/>
    <mergeCell ref="A64:M64"/>
    <mergeCell ref="L32:L35"/>
    <mergeCell ref="P32:P35"/>
    <mergeCell ref="Q32:Q35"/>
    <mergeCell ref="N32:N35"/>
    <mergeCell ref="O32:O35"/>
    <mergeCell ref="D32:D35"/>
    <mergeCell ref="H7:H10"/>
  </mergeCells>
  <printOptions/>
  <pageMargins left="0.1968503937007874" right="0.1968503937007874" top="0.1968503937007874" bottom="0.1968503937007874" header="0" footer="0"/>
  <pageSetup firstPageNumber="1" useFirstPageNumber="1" horizontalDpi="300" verticalDpi="300" orientation="landscape" paperSize="9" scale="69" r:id="rId1"/>
  <headerFooter alignWithMargins="0">
    <oddFooter>&amp;L&amp;D&amp;Rstrona &amp;P z 3</oddFooter>
  </headerFooter>
  <rowBreaks count="2" manualBreakCount="2">
    <brk id="26" max="255" man="1"/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2009-11-20T13:10:55Z</cp:lastPrinted>
  <dcterms:created xsi:type="dcterms:W3CDTF">2001-05-17T08:58:03Z</dcterms:created>
  <dcterms:modified xsi:type="dcterms:W3CDTF">2019-03-28T11:47:37Z</dcterms:modified>
  <cp:category/>
  <cp:version/>
  <cp:contentType/>
  <cp:contentStatus/>
</cp:coreProperties>
</file>