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 kwartał\2025.08.15 Dane ostateczne\Zbiorówki_2025_k2_2025.08.15\Publikacja\"/>
    </mc:Choice>
  </mc:AlternateContent>
  <xr:revisionPtr revIDLastSave="0" documentId="13_ncr:1_{68490900-BB50-4E77-8F4B-02F65C503E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" i="7" l="1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04" i="7" l="1"/>
  <c r="A77" i="7" l="1"/>
  <c r="A1" i="7"/>
  <c r="A96" i="7"/>
  <c r="A34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<sst xmlns="http://schemas.openxmlformats.org/spreadsheetml/2006/main" count="97" uniqueCount="81">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</sst>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4" fontId="7" fillId="20" borderId="10" xfId="37" applyNumberFormat="1" applyFont="1" applyFill="1" applyBorder="1" applyAlignment="1">
      <alignment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indent="1"/>
    </xf>
    <xf numFmtId="0" fontId="33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left" vertical="center" inden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31" fillId="21" borderId="17" xfId="0" applyFont="1" applyFill="1" applyBorder="1" applyAlignment="1">
      <alignment wrapText="1"/>
    </xf>
    <xf numFmtId="0" fontId="31" fillId="21" borderId="18" xfId="0" applyFont="1" applyFill="1" applyBorder="1" applyAlignment="1">
      <alignment wrapText="1"/>
    </xf>
    <xf numFmtId="0" fontId="31" fillId="21" borderId="18" xfId="0" applyFont="1" applyFill="1" applyBorder="1" applyAlignment="1">
      <alignment vertical="center"/>
    </xf>
    <xf numFmtId="0" fontId="31" fillId="21" borderId="17" xfId="0" applyFont="1" applyFill="1" applyBorder="1" applyAlignment="1">
      <alignment horizontal="left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32" fillId="21" borderId="17" xfId="0" applyFont="1" applyFill="1" applyBorder="1" applyAlignment="1">
      <alignment vertical="center" wrapText="1"/>
    </xf>
    <xf numFmtId="4" fontId="7" fillId="21" borderId="10" xfId="37" applyNumberFormat="1" applyFont="1" applyFill="1" applyBorder="1" applyAlignment="1">
      <alignment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22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21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10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4.7109375" style="2" customWidth="1"/>
    <col min="4" max="4" width="13.28515625" style="2" customWidth="1"/>
    <col min="5" max="5" width="12.28515625" style="2" customWidth="1"/>
    <col min="6" max="6" width="11.85546875" style="2" customWidth="1"/>
    <col min="7" max="7" width="11" style="2" customWidth="1"/>
    <col min="8" max="8" width="11.140625" style="2" customWidth="1"/>
    <col min="9" max="9" width="12.28515625" style="2" customWidth="1"/>
    <col min="10" max="10" width="13.5703125" style="2" customWidth="1"/>
    <col min="11" max="11" width="12.140625" style="2" customWidth="1"/>
    <col min="12" max="12" width="13.28515625" style="2" customWidth="1"/>
    <col min="13" max="13" width="11.140625" style="2" bestFit="1" customWidth="1"/>
    <col min="14" max="14" width="11.28515625" style="2" bestFit="1" customWidth="1"/>
    <col min="15" max="15" width="9.28515625" style="2" bestFit="1" customWidth="1"/>
    <col min="16" max="16" width="7.5703125" style="2" bestFit="1" customWidth="1"/>
    <col min="17" max="17" width="9.85546875" style="2" bestFit="1" customWidth="1"/>
    <col min="18" max="16384" width="9.140625" style="2"/>
  </cols>
  <sheetData>
    <row r="1" spans="1:17" ht="75" customHeight="1" x14ac:dyDescent="0.2">
      <c r="A1" s="40" t="str">
        <f>CONCATENATE("Informacja z wykonania budżetów gmin za ",$C$104," ",$B$105," roku   ",$B$107,"")</f>
        <v xml:space="preserve">Informacja z wykonania budżetów gmin za II Kwartały 2025 roku   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80" t="s">
        <v>64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5" spans="1:17" ht="13.5" customHeight="1" x14ac:dyDescent="0.2">
      <c r="B5" s="12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11"/>
      <c r="O5" s="11"/>
      <c r="P5" s="11"/>
      <c r="Q5" s="11"/>
    </row>
    <row r="6" spans="1:17" ht="13.5" customHeight="1" x14ac:dyDescent="0.2">
      <c r="A6" s="92" t="s">
        <v>0</v>
      </c>
      <c r="B6" s="91" t="s">
        <v>65</v>
      </c>
      <c r="C6" s="84" t="s">
        <v>69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36" t="s">
        <v>68</v>
      </c>
      <c r="P6" s="37"/>
      <c r="Q6" s="38"/>
    </row>
    <row r="7" spans="1:17" ht="13.5" customHeight="1" x14ac:dyDescent="0.2">
      <c r="A7" s="93"/>
      <c r="B7" s="87"/>
      <c r="C7" s="81" t="s">
        <v>66</v>
      </c>
      <c r="D7" s="81" t="s">
        <v>77</v>
      </c>
      <c r="E7" s="81" t="s">
        <v>70</v>
      </c>
      <c r="F7" s="81" t="s">
        <v>71</v>
      </c>
      <c r="G7" s="81" t="s">
        <v>27</v>
      </c>
      <c r="H7" s="81" t="s">
        <v>28</v>
      </c>
      <c r="I7" s="82" t="s">
        <v>67</v>
      </c>
      <c r="J7" s="81" t="s">
        <v>16</v>
      </c>
      <c r="K7" s="81" t="s">
        <v>17</v>
      </c>
      <c r="L7" s="81" t="s">
        <v>18</v>
      </c>
      <c r="M7" s="81" t="s">
        <v>19</v>
      </c>
      <c r="N7" s="87" t="s">
        <v>20</v>
      </c>
      <c r="O7" s="39" t="s">
        <v>21</v>
      </c>
      <c r="P7" s="39" t="s">
        <v>22</v>
      </c>
      <c r="Q7" s="39" t="s">
        <v>23</v>
      </c>
    </row>
    <row r="8" spans="1:17" ht="13.5" customHeight="1" x14ac:dyDescent="0.2">
      <c r="A8" s="93"/>
      <c r="B8" s="87"/>
      <c r="C8" s="41"/>
      <c r="D8" s="41"/>
      <c r="E8" s="41"/>
      <c r="F8" s="41"/>
      <c r="G8" s="41"/>
      <c r="H8" s="41"/>
      <c r="I8" s="82"/>
      <c r="J8" s="41"/>
      <c r="K8" s="41"/>
      <c r="L8" s="41"/>
      <c r="M8" s="41"/>
      <c r="N8" s="87"/>
      <c r="O8" s="39"/>
      <c r="P8" s="39"/>
      <c r="Q8" s="39"/>
    </row>
    <row r="9" spans="1:17" ht="11.25" customHeight="1" x14ac:dyDescent="0.2">
      <c r="A9" s="93"/>
      <c r="B9" s="87"/>
      <c r="C9" s="41"/>
      <c r="D9" s="41"/>
      <c r="E9" s="41"/>
      <c r="F9" s="41"/>
      <c r="G9" s="41"/>
      <c r="H9" s="41"/>
      <c r="I9" s="82"/>
      <c r="J9" s="41"/>
      <c r="K9" s="41"/>
      <c r="L9" s="41"/>
      <c r="M9" s="41"/>
      <c r="N9" s="87"/>
      <c r="O9" s="39"/>
      <c r="P9" s="39"/>
      <c r="Q9" s="39"/>
    </row>
    <row r="10" spans="1:17" ht="16.5" customHeight="1" x14ac:dyDescent="0.2">
      <c r="A10" s="94"/>
      <c r="B10" s="81"/>
      <c r="C10" s="41"/>
      <c r="D10" s="41"/>
      <c r="E10" s="41"/>
      <c r="F10" s="41"/>
      <c r="G10" s="41"/>
      <c r="H10" s="41"/>
      <c r="I10" s="83"/>
      <c r="J10" s="41"/>
      <c r="K10" s="41"/>
      <c r="L10" s="41"/>
      <c r="M10" s="41"/>
      <c r="N10" s="81"/>
      <c r="O10" s="39"/>
      <c r="P10" s="39"/>
      <c r="Q10" s="39"/>
    </row>
    <row r="11" spans="1:17" ht="16.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95" t="s">
        <v>80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63"/>
      <c r="P12" s="63"/>
      <c r="Q12" s="64"/>
    </row>
    <row r="13" spans="1:17" ht="48" x14ac:dyDescent="0.2">
      <c r="A13" s="27" t="s">
        <v>46</v>
      </c>
      <c r="B13" s="28">
        <f>41229511633.5</f>
        <v>41229511633.5</v>
      </c>
      <c r="C13" s="28">
        <f>41229510606.38</f>
        <v>41229510606.379997</v>
      </c>
      <c r="D13" s="28">
        <f>2514044615.08</f>
        <v>2514044615.0799999</v>
      </c>
      <c r="E13" s="28">
        <f>426279086.23</f>
        <v>426279086.23000002</v>
      </c>
      <c r="F13" s="28">
        <f>468735426.99</f>
        <v>468735426.99000001</v>
      </c>
      <c r="G13" s="28">
        <f>1616885396.4</f>
        <v>1616885396.4000001</v>
      </c>
      <c r="H13" s="28">
        <f>2144705.46</f>
        <v>2144705.46</v>
      </c>
      <c r="I13" s="28">
        <f>0</f>
        <v>0</v>
      </c>
      <c r="J13" s="28">
        <f>36649651521.31</f>
        <v>36649651521.309998</v>
      </c>
      <c r="K13" s="28">
        <f>1841571814.03</f>
        <v>1841571814.03</v>
      </c>
      <c r="L13" s="28">
        <f>199587190.15</f>
        <v>199587190.15000001</v>
      </c>
      <c r="M13" s="28">
        <f>13067591.81</f>
        <v>13067591.810000001</v>
      </c>
      <c r="N13" s="28">
        <f>11587874</f>
        <v>11587874</v>
      </c>
      <c r="O13" s="28">
        <f>1027.12</f>
        <v>1027.1199999999999</v>
      </c>
      <c r="P13" s="28">
        <f>0</f>
        <v>0</v>
      </c>
      <c r="Q13" s="28">
        <f>1027.12</f>
        <v>1027.1199999999999</v>
      </c>
    </row>
    <row r="14" spans="1:17" ht="26.25" customHeight="1" x14ac:dyDescent="0.2">
      <c r="A14" s="29" t="s">
        <v>47</v>
      </c>
      <c r="B14" s="28">
        <f>1237780529.43</f>
        <v>1237780529.4300001</v>
      </c>
      <c r="C14" s="28">
        <f>1237780529.43</f>
        <v>1237780529.4300001</v>
      </c>
      <c r="D14" s="28">
        <f>0</f>
        <v>0</v>
      </c>
      <c r="E14" s="28">
        <f>0</f>
        <v>0</v>
      </c>
      <c r="F14" s="28">
        <f>0</f>
        <v>0</v>
      </c>
      <c r="G14" s="28">
        <f>0</f>
        <v>0</v>
      </c>
      <c r="H14" s="28">
        <f>0</f>
        <v>0</v>
      </c>
      <c r="I14" s="28">
        <f>0</f>
        <v>0</v>
      </c>
      <c r="J14" s="28">
        <f>1199830529.43</f>
        <v>1199830529.4300001</v>
      </c>
      <c r="K14" s="28">
        <f>37950000</f>
        <v>37950000</v>
      </c>
      <c r="L14" s="28">
        <f>0</f>
        <v>0</v>
      </c>
      <c r="M14" s="28">
        <f>0</f>
        <v>0</v>
      </c>
      <c r="N14" s="28">
        <f>0</f>
        <v>0</v>
      </c>
      <c r="O14" s="28">
        <f>0</f>
        <v>0</v>
      </c>
      <c r="P14" s="28">
        <f>0</f>
        <v>0</v>
      </c>
      <c r="Q14" s="28">
        <f>0</f>
        <v>0</v>
      </c>
    </row>
    <row r="15" spans="1:17" ht="27" customHeight="1" x14ac:dyDescent="0.2">
      <c r="A15" s="19" t="s">
        <v>48</v>
      </c>
      <c r="B15" s="33">
        <f>1224529.43</f>
        <v>1224529.43</v>
      </c>
      <c r="C15" s="33">
        <f>1224529.43</f>
        <v>1224529.43</v>
      </c>
      <c r="D15" s="33">
        <f>0</f>
        <v>0</v>
      </c>
      <c r="E15" s="33">
        <f>0</f>
        <v>0</v>
      </c>
      <c r="F15" s="33">
        <f>0</f>
        <v>0</v>
      </c>
      <c r="G15" s="33">
        <f>0</f>
        <v>0</v>
      </c>
      <c r="H15" s="33">
        <f>0</f>
        <v>0</v>
      </c>
      <c r="I15" s="33">
        <f>0</f>
        <v>0</v>
      </c>
      <c r="J15" s="33">
        <f>1224529.43</f>
        <v>1224529.43</v>
      </c>
      <c r="K15" s="33">
        <f>0</f>
        <v>0</v>
      </c>
      <c r="L15" s="33">
        <f>0</f>
        <v>0</v>
      </c>
      <c r="M15" s="33">
        <f>0</f>
        <v>0</v>
      </c>
      <c r="N15" s="33">
        <f>0</f>
        <v>0</v>
      </c>
      <c r="O15" s="33">
        <f>0</f>
        <v>0</v>
      </c>
      <c r="P15" s="33">
        <f>0</f>
        <v>0</v>
      </c>
      <c r="Q15" s="33">
        <f>0</f>
        <v>0</v>
      </c>
    </row>
    <row r="16" spans="1:17" ht="24" customHeight="1" x14ac:dyDescent="0.2">
      <c r="A16" s="19" t="s">
        <v>49</v>
      </c>
      <c r="B16" s="33">
        <f>1236556000</f>
        <v>1236556000</v>
      </c>
      <c r="C16" s="33">
        <f>1236556000</f>
        <v>1236556000</v>
      </c>
      <c r="D16" s="33">
        <f>0</f>
        <v>0</v>
      </c>
      <c r="E16" s="33">
        <f>0</f>
        <v>0</v>
      </c>
      <c r="F16" s="33">
        <f>0</f>
        <v>0</v>
      </c>
      <c r="G16" s="33">
        <f>0</f>
        <v>0</v>
      </c>
      <c r="H16" s="33">
        <f>0</f>
        <v>0</v>
      </c>
      <c r="I16" s="33">
        <f>0</f>
        <v>0</v>
      </c>
      <c r="J16" s="33">
        <f>1198606000</f>
        <v>1198606000</v>
      </c>
      <c r="K16" s="33">
        <f>37950000</f>
        <v>37950000</v>
      </c>
      <c r="L16" s="33">
        <f>0</f>
        <v>0</v>
      </c>
      <c r="M16" s="33">
        <f>0</f>
        <v>0</v>
      </c>
      <c r="N16" s="33">
        <f>0</f>
        <v>0</v>
      </c>
      <c r="O16" s="33">
        <f>0</f>
        <v>0</v>
      </c>
      <c r="P16" s="33">
        <f>0</f>
        <v>0</v>
      </c>
      <c r="Q16" s="33">
        <f>0</f>
        <v>0</v>
      </c>
    </row>
    <row r="17" spans="1:17" ht="31.5" customHeight="1" x14ac:dyDescent="0.2">
      <c r="A17" s="30" t="s">
        <v>50</v>
      </c>
      <c r="B17" s="28">
        <f>39937328678.87</f>
        <v>39937328678.870003</v>
      </c>
      <c r="C17" s="28">
        <f>39937328678.87</f>
        <v>39937328678.870003</v>
      </c>
      <c r="D17" s="28">
        <f>2498898223.86</f>
        <v>2498898223.8600001</v>
      </c>
      <c r="E17" s="28">
        <f>425905732.58</f>
        <v>425905732.57999998</v>
      </c>
      <c r="F17" s="28">
        <f>468580344.64</f>
        <v>468580344.63999999</v>
      </c>
      <c r="G17" s="28">
        <f>1604412146.64</f>
        <v>1604412146.6400001</v>
      </c>
      <c r="H17" s="28">
        <f>0</f>
        <v>0</v>
      </c>
      <c r="I17" s="28">
        <f>0</f>
        <v>0</v>
      </c>
      <c r="J17" s="28">
        <f>35449770991.88</f>
        <v>35449770991.879997</v>
      </c>
      <c r="K17" s="28">
        <f>1803545409.27</f>
        <v>1803545409.27</v>
      </c>
      <c r="L17" s="28">
        <f>170439701.09</f>
        <v>170439701.09</v>
      </c>
      <c r="M17" s="28">
        <f>5355256.55</f>
        <v>5355256.55</v>
      </c>
      <c r="N17" s="28">
        <f>9319096.22</f>
        <v>9319096.2200000007</v>
      </c>
      <c r="O17" s="28">
        <f>0</f>
        <v>0</v>
      </c>
      <c r="P17" s="28">
        <f>0</f>
        <v>0</v>
      </c>
      <c r="Q17" s="28">
        <f>0</f>
        <v>0</v>
      </c>
    </row>
    <row r="18" spans="1:17" ht="33" customHeight="1" x14ac:dyDescent="0.2">
      <c r="A18" s="20" t="s">
        <v>51</v>
      </c>
      <c r="B18" s="33">
        <f>384299493.04</f>
        <v>384299493.04000002</v>
      </c>
      <c r="C18" s="33">
        <f>384299493.04</f>
        <v>384299493.04000002</v>
      </c>
      <c r="D18" s="33">
        <f>81713865.18</f>
        <v>81713865.180000007</v>
      </c>
      <c r="E18" s="33">
        <f>75959556.33</f>
        <v>75959556.329999998</v>
      </c>
      <c r="F18" s="33">
        <f>537942</f>
        <v>537942</v>
      </c>
      <c r="G18" s="33">
        <f>5216366.85</f>
        <v>5216366.8499999996</v>
      </c>
      <c r="H18" s="33">
        <f>0</f>
        <v>0</v>
      </c>
      <c r="I18" s="33">
        <f>0</f>
        <v>0</v>
      </c>
      <c r="J18" s="33">
        <f>301543906</f>
        <v>301543906</v>
      </c>
      <c r="K18" s="33">
        <f>0</f>
        <v>0</v>
      </c>
      <c r="L18" s="33">
        <f>7141.86</f>
        <v>7141.86</v>
      </c>
      <c r="M18" s="33">
        <f>1034580</f>
        <v>1034580</v>
      </c>
      <c r="N18" s="33">
        <f>0</f>
        <v>0</v>
      </c>
      <c r="O18" s="33">
        <f>0</f>
        <v>0</v>
      </c>
      <c r="P18" s="33">
        <f>0</f>
        <v>0</v>
      </c>
      <c r="Q18" s="33">
        <f>0</f>
        <v>0</v>
      </c>
    </row>
    <row r="19" spans="1:17" ht="25.5" customHeight="1" x14ac:dyDescent="0.2">
      <c r="A19" s="21" t="s">
        <v>52</v>
      </c>
      <c r="B19" s="33">
        <f>39553029185.83</f>
        <v>39553029185.830002</v>
      </c>
      <c r="C19" s="33">
        <f>39553029185.83</f>
        <v>39553029185.830002</v>
      </c>
      <c r="D19" s="33">
        <f>2417184358.68</f>
        <v>2417184358.6799998</v>
      </c>
      <c r="E19" s="33">
        <f>349946176.25</f>
        <v>349946176.25</v>
      </c>
      <c r="F19" s="33">
        <f>468042402.64</f>
        <v>468042402.63999999</v>
      </c>
      <c r="G19" s="33">
        <f>1599195779.79</f>
        <v>1599195779.79</v>
      </c>
      <c r="H19" s="33">
        <f>0</f>
        <v>0</v>
      </c>
      <c r="I19" s="33">
        <f>0</f>
        <v>0</v>
      </c>
      <c r="J19" s="33">
        <f>35148227085.88</f>
        <v>35148227085.879997</v>
      </c>
      <c r="K19" s="33">
        <f>1803545409.27</f>
        <v>1803545409.27</v>
      </c>
      <c r="L19" s="33">
        <f>170432559.23</f>
        <v>170432559.22999999</v>
      </c>
      <c r="M19" s="33">
        <f>4320676.55</f>
        <v>4320676.55</v>
      </c>
      <c r="N19" s="33">
        <f>9319096.22</f>
        <v>9319096.2200000007</v>
      </c>
      <c r="O19" s="33">
        <f>0</f>
        <v>0</v>
      </c>
      <c r="P19" s="33">
        <f>0</f>
        <v>0</v>
      </c>
      <c r="Q19" s="33">
        <f>0</f>
        <v>0</v>
      </c>
    </row>
    <row r="20" spans="1:17" ht="27.75" customHeight="1" x14ac:dyDescent="0.2">
      <c r="A20" s="31" t="s">
        <v>53</v>
      </c>
      <c r="B20" s="28">
        <f>1500000</f>
        <v>1500000</v>
      </c>
      <c r="C20" s="28">
        <f>1500000</f>
        <v>1500000</v>
      </c>
      <c r="D20" s="28">
        <f>1500000</f>
        <v>1500000</v>
      </c>
      <c r="E20" s="28">
        <f>0</f>
        <v>0</v>
      </c>
      <c r="F20" s="28">
        <f>0</f>
        <v>0</v>
      </c>
      <c r="G20" s="28">
        <f>1500000</f>
        <v>1500000</v>
      </c>
      <c r="H20" s="28">
        <f>0</f>
        <v>0</v>
      </c>
      <c r="I20" s="28">
        <f>0</f>
        <v>0</v>
      </c>
      <c r="J20" s="28">
        <f>0</f>
        <v>0</v>
      </c>
      <c r="K20" s="28">
        <f>0</f>
        <v>0</v>
      </c>
      <c r="L20" s="28">
        <f>0</f>
        <v>0</v>
      </c>
      <c r="M20" s="28">
        <f>0</f>
        <v>0</v>
      </c>
      <c r="N20" s="28">
        <f>0</f>
        <v>0</v>
      </c>
      <c r="O20" s="28">
        <f>0</f>
        <v>0</v>
      </c>
      <c r="P20" s="28">
        <f>0</f>
        <v>0</v>
      </c>
      <c r="Q20" s="28">
        <f>0</f>
        <v>0</v>
      </c>
    </row>
    <row r="21" spans="1:17" ht="36" x14ac:dyDescent="0.2">
      <c r="A21" s="32" t="s">
        <v>54</v>
      </c>
      <c r="B21" s="28">
        <f>52902425.2</f>
        <v>52902425.200000003</v>
      </c>
      <c r="C21" s="28">
        <f>52901398.08</f>
        <v>52901398.079999998</v>
      </c>
      <c r="D21" s="28">
        <f>13646391.22</f>
        <v>13646391.220000001</v>
      </c>
      <c r="E21" s="28">
        <f>373353.65</f>
        <v>373353.65</v>
      </c>
      <c r="F21" s="28">
        <f>155082.35</f>
        <v>155082.35</v>
      </c>
      <c r="G21" s="28">
        <f>10973249.76</f>
        <v>10973249.76</v>
      </c>
      <c r="H21" s="28">
        <f>2144705.46</f>
        <v>2144705.46</v>
      </c>
      <c r="I21" s="28">
        <f>0</f>
        <v>0</v>
      </c>
      <c r="J21" s="28">
        <f>50000</f>
        <v>50000</v>
      </c>
      <c r="K21" s="28">
        <f>76404.76</f>
        <v>76404.759999999995</v>
      </c>
      <c r="L21" s="28">
        <f>29147489.06</f>
        <v>29147489.059999999</v>
      </c>
      <c r="M21" s="28">
        <f>7712335.26</f>
        <v>7712335.2599999998</v>
      </c>
      <c r="N21" s="28">
        <f>2268777.78</f>
        <v>2268777.7799999998</v>
      </c>
      <c r="O21" s="28">
        <f>1027.12</f>
        <v>1027.1199999999999</v>
      </c>
      <c r="P21" s="28">
        <f>0</f>
        <v>0</v>
      </c>
      <c r="Q21" s="28">
        <f>1027.12</f>
        <v>1027.1199999999999</v>
      </c>
    </row>
    <row r="22" spans="1:17" ht="27" customHeight="1" x14ac:dyDescent="0.2">
      <c r="A22" s="19" t="s">
        <v>55</v>
      </c>
      <c r="B22" s="33">
        <f>31671863.38</f>
        <v>31671863.379999999</v>
      </c>
      <c r="C22" s="33">
        <f>31671863.38</f>
        <v>31671863.379999999</v>
      </c>
      <c r="D22" s="33">
        <f>2412236.62</f>
        <v>2412236.62</v>
      </c>
      <c r="E22" s="33">
        <f>22921.91</f>
        <v>22921.91</v>
      </c>
      <c r="F22" s="33">
        <f>1717</f>
        <v>1717</v>
      </c>
      <c r="G22" s="33">
        <f>2387597.71</f>
        <v>2387597.71</v>
      </c>
      <c r="H22" s="33">
        <f>0</f>
        <v>0</v>
      </c>
      <c r="I22" s="33">
        <f>0</f>
        <v>0</v>
      </c>
      <c r="J22" s="33">
        <f>0</f>
        <v>0</v>
      </c>
      <c r="K22" s="33">
        <f>10786.94</f>
        <v>10786.94</v>
      </c>
      <c r="L22" s="33">
        <f>22186613.18</f>
        <v>22186613.18</v>
      </c>
      <c r="M22" s="33">
        <f>4834336.5</f>
        <v>4834336.5</v>
      </c>
      <c r="N22" s="33">
        <f>2227890.14</f>
        <v>2227890.14</v>
      </c>
      <c r="O22" s="33">
        <f>0</f>
        <v>0</v>
      </c>
      <c r="P22" s="33">
        <f>0</f>
        <v>0</v>
      </c>
      <c r="Q22" s="33">
        <f>0</f>
        <v>0</v>
      </c>
    </row>
    <row r="23" spans="1:17" ht="31.5" customHeight="1" x14ac:dyDescent="0.2">
      <c r="A23" s="25" t="s">
        <v>56</v>
      </c>
      <c r="B23" s="33">
        <f>21230561.82</f>
        <v>21230561.82</v>
      </c>
      <c r="C23" s="33">
        <f>21229534.7</f>
        <v>21229534.699999999</v>
      </c>
      <c r="D23" s="33">
        <f>11234154.6</f>
        <v>11234154.6</v>
      </c>
      <c r="E23" s="33">
        <f>350431.74</f>
        <v>350431.74</v>
      </c>
      <c r="F23" s="33">
        <f>153365.35</f>
        <v>153365.35</v>
      </c>
      <c r="G23" s="33">
        <f>8585652.05</f>
        <v>8585652.0500000007</v>
      </c>
      <c r="H23" s="33">
        <f>2144705.46</f>
        <v>2144705.46</v>
      </c>
      <c r="I23" s="33">
        <f>0</f>
        <v>0</v>
      </c>
      <c r="J23" s="33">
        <f>50000</f>
        <v>50000</v>
      </c>
      <c r="K23" s="33">
        <f>65617.82</f>
        <v>65617.820000000007</v>
      </c>
      <c r="L23" s="33">
        <f>6960875.88</f>
        <v>6960875.8799999999</v>
      </c>
      <c r="M23" s="33">
        <f>2877998.76</f>
        <v>2877998.76</v>
      </c>
      <c r="N23" s="33">
        <f>40887.64</f>
        <v>40887.64</v>
      </c>
      <c r="O23" s="33">
        <f>1027.12</f>
        <v>1027.1199999999999</v>
      </c>
      <c r="P23" s="33">
        <f>0</f>
        <v>0</v>
      </c>
      <c r="Q23" s="33">
        <f>1027.12</f>
        <v>1027.1199999999999</v>
      </c>
    </row>
    <row r="24" spans="1:17" ht="19.5" customHeigh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9.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9.5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9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9.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9.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9.5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9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9.5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9.5" customHeight="1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45.75" customHeight="1" x14ac:dyDescent="0.2">
      <c r="A34" s="40" t="str">
        <f>CONCATENATE("Informacja z wykonania budżetów gmin za ",$C$104," ",$B$105," roku   ",$B$107,"")</f>
        <v xml:space="preserve">Informacja z wykonania budżetów gmin za II Kwartały 2025 roku   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6" spans="1:17" ht="13.5" customHeight="1" x14ac:dyDescent="0.2">
      <c r="A36" s="80" t="s">
        <v>11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  <row r="38" spans="1:17" ht="13.5" customHeight="1" x14ac:dyDescent="0.2">
      <c r="A38" s="97" t="s">
        <v>0</v>
      </c>
      <c r="B38" s="91" t="s">
        <v>12</v>
      </c>
      <c r="C38" s="84" t="s">
        <v>14</v>
      </c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6"/>
      <c r="O38" s="88" t="s">
        <v>24</v>
      </c>
      <c r="P38" s="89"/>
      <c r="Q38" s="90"/>
    </row>
    <row r="39" spans="1:17" ht="13.5" customHeight="1" x14ac:dyDescent="0.2">
      <c r="A39" s="98"/>
      <c r="B39" s="87"/>
      <c r="C39" s="87" t="s">
        <v>13</v>
      </c>
      <c r="D39" s="41" t="s">
        <v>15</v>
      </c>
      <c r="E39" s="41" t="s">
        <v>25</v>
      </c>
      <c r="F39" s="41" t="s">
        <v>26</v>
      </c>
      <c r="G39" s="41" t="s">
        <v>74</v>
      </c>
      <c r="H39" s="41" t="s">
        <v>28</v>
      </c>
      <c r="I39" s="41" t="s">
        <v>1</v>
      </c>
      <c r="J39" s="41" t="s">
        <v>16</v>
      </c>
      <c r="K39" s="41" t="s">
        <v>17</v>
      </c>
      <c r="L39" s="41" t="s">
        <v>18</v>
      </c>
      <c r="M39" s="41" t="s">
        <v>19</v>
      </c>
      <c r="N39" s="100" t="s">
        <v>20</v>
      </c>
      <c r="O39" s="39" t="s">
        <v>21</v>
      </c>
      <c r="P39" s="39" t="s">
        <v>22</v>
      </c>
      <c r="Q39" s="42" t="s">
        <v>23</v>
      </c>
    </row>
    <row r="40" spans="1:17" ht="11.25" customHeight="1" x14ac:dyDescent="0.2">
      <c r="A40" s="98"/>
      <c r="B40" s="87"/>
      <c r="C40" s="87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100"/>
      <c r="O40" s="39"/>
      <c r="P40" s="39"/>
      <c r="Q40" s="43"/>
    </row>
    <row r="41" spans="1:17" ht="32.25" customHeight="1" x14ac:dyDescent="0.2">
      <c r="A41" s="99"/>
      <c r="B41" s="81"/>
      <c r="C41" s="8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100"/>
      <c r="O41" s="39"/>
      <c r="P41" s="39"/>
      <c r="Q41" s="44"/>
    </row>
    <row r="42" spans="1:17" ht="12.75" customHeight="1" x14ac:dyDescent="0.2">
      <c r="A42" s="14">
        <v>1</v>
      </c>
      <c r="B42" s="14">
        <v>2</v>
      </c>
      <c r="C42" s="14">
        <v>3</v>
      </c>
      <c r="D42" s="14">
        <v>4</v>
      </c>
      <c r="E42" s="14">
        <v>5</v>
      </c>
      <c r="F42" s="14">
        <v>6</v>
      </c>
      <c r="G42" s="14">
        <v>7</v>
      </c>
      <c r="H42" s="14">
        <v>8</v>
      </c>
      <c r="I42" s="14">
        <v>9</v>
      </c>
      <c r="J42" s="14">
        <v>10</v>
      </c>
      <c r="K42" s="14">
        <v>11</v>
      </c>
      <c r="L42" s="14">
        <v>12</v>
      </c>
      <c r="M42" s="14">
        <v>13</v>
      </c>
      <c r="N42" s="14">
        <v>14</v>
      </c>
      <c r="O42" s="14">
        <v>15</v>
      </c>
      <c r="P42" s="14">
        <v>16</v>
      </c>
      <c r="Q42" s="14">
        <v>17</v>
      </c>
    </row>
    <row r="43" spans="1:17" ht="13.5" customHeight="1" x14ac:dyDescent="0.2">
      <c r="A43" s="14"/>
      <c r="B43" s="84" t="s">
        <v>80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6"/>
    </row>
    <row r="44" spans="1:17" ht="24.75" customHeight="1" x14ac:dyDescent="0.2">
      <c r="A44" s="34" t="s">
        <v>41</v>
      </c>
      <c r="B44" s="35">
        <f>157731566.66</f>
        <v>157731566.66</v>
      </c>
      <c r="C44" s="35">
        <f>157731566.66</f>
        <v>157731566.66</v>
      </c>
      <c r="D44" s="35">
        <f>0</f>
        <v>0</v>
      </c>
      <c r="E44" s="35">
        <f>0</f>
        <v>0</v>
      </c>
      <c r="F44" s="35">
        <f>0</f>
        <v>0</v>
      </c>
      <c r="G44" s="35">
        <f>0</f>
        <v>0</v>
      </c>
      <c r="H44" s="35">
        <f>0</f>
        <v>0</v>
      </c>
      <c r="I44" s="35">
        <f>0</f>
        <v>0</v>
      </c>
      <c r="J44" s="35">
        <f>157730566.66</f>
        <v>157730566.66</v>
      </c>
      <c r="K44" s="35">
        <f>0</f>
        <v>0</v>
      </c>
      <c r="L44" s="35">
        <f>1000</f>
        <v>1000</v>
      </c>
      <c r="M44" s="35">
        <f>0</f>
        <v>0</v>
      </c>
      <c r="N44" s="35">
        <f>0</f>
        <v>0</v>
      </c>
      <c r="O44" s="35">
        <f>0</f>
        <v>0</v>
      </c>
      <c r="P44" s="35">
        <f>0</f>
        <v>0</v>
      </c>
      <c r="Q44" s="35">
        <f>0</f>
        <v>0</v>
      </c>
    </row>
    <row r="45" spans="1:17" ht="24.75" customHeight="1" x14ac:dyDescent="0.2">
      <c r="A45" s="23" t="s">
        <v>29</v>
      </c>
      <c r="B45" s="26">
        <f>0</f>
        <v>0</v>
      </c>
      <c r="C45" s="26">
        <f>0</f>
        <v>0</v>
      </c>
      <c r="D45" s="26">
        <f>0</f>
        <v>0</v>
      </c>
      <c r="E45" s="26">
        <f>0</f>
        <v>0</v>
      </c>
      <c r="F45" s="26">
        <f>0</f>
        <v>0</v>
      </c>
      <c r="G45" s="26">
        <f>0</f>
        <v>0</v>
      </c>
      <c r="H45" s="26">
        <f>0</f>
        <v>0</v>
      </c>
      <c r="I45" s="26">
        <f>0</f>
        <v>0</v>
      </c>
      <c r="J45" s="26">
        <f>0</f>
        <v>0</v>
      </c>
      <c r="K45" s="26">
        <f>0</f>
        <v>0</v>
      </c>
      <c r="L45" s="26">
        <f>0</f>
        <v>0</v>
      </c>
      <c r="M45" s="26">
        <f>0</f>
        <v>0</v>
      </c>
      <c r="N45" s="26">
        <f>0</f>
        <v>0</v>
      </c>
      <c r="O45" s="15">
        <f>0</f>
        <v>0</v>
      </c>
      <c r="P45" s="15">
        <f>0</f>
        <v>0</v>
      </c>
      <c r="Q45" s="15">
        <f>0</f>
        <v>0</v>
      </c>
    </row>
    <row r="46" spans="1:17" ht="24.75" customHeight="1" x14ac:dyDescent="0.2">
      <c r="A46" s="23" t="s">
        <v>30</v>
      </c>
      <c r="B46" s="26">
        <f>157731566.66</f>
        <v>157731566.66</v>
      </c>
      <c r="C46" s="26">
        <f>157731566.66</f>
        <v>157731566.66</v>
      </c>
      <c r="D46" s="26">
        <f>0</f>
        <v>0</v>
      </c>
      <c r="E46" s="26">
        <f>0</f>
        <v>0</v>
      </c>
      <c r="F46" s="26">
        <f>0</f>
        <v>0</v>
      </c>
      <c r="G46" s="26">
        <f>0</f>
        <v>0</v>
      </c>
      <c r="H46" s="26">
        <f>0</f>
        <v>0</v>
      </c>
      <c r="I46" s="26">
        <f>0</f>
        <v>0</v>
      </c>
      <c r="J46" s="26">
        <f>157730566.66</f>
        <v>157730566.66</v>
      </c>
      <c r="K46" s="26">
        <f>0</f>
        <v>0</v>
      </c>
      <c r="L46" s="26">
        <f>1000</f>
        <v>1000</v>
      </c>
      <c r="M46" s="26">
        <f>0</f>
        <v>0</v>
      </c>
      <c r="N46" s="26">
        <f>0</f>
        <v>0</v>
      </c>
      <c r="O46" s="15">
        <f>0</f>
        <v>0</v>
      </c>
      <c r="P46" s="15">
        <f>0</f>
        <v>0</v>
      </c>
      <c r="Q46" s="15">
        <f>0</f>
        <v>0</v>
      </c>
    </row>
    <row r="47" spans="1:17" ht="24.75" customHeight="1" x14ac:dyDescent="0.2">
      <c r="A47" s="24" t="s">
        <v>42</v>
      </c>
      <c r="B47" s="26">
        <f>450064934.63</f>
        <v>450064934.63</v>
      </c>
      <c r="C47" s="26">
        <f>450050835.41</f>
        <v>450050835.41000003</v>
      </c>
      <c r="D47" s="26">
        <f>37393503.57</f>
        <v>37393503.57</v>
      </c>
      <c r="E47" s="26">
        <f>139928.36</f>
        <v>139928.35999999999</v>
      </c>
      <c r="F47" s="26">
        <f>1153864</f>
        <v>1153864</v>
      </c>
      <c r="G47" s="26">
        <f>31318534.21</f>
        <v>31318534.210000001</v>
      </c>
      <c r="H47" s="26">
        <f>4781177</f>
        <v>4781177</v>
      </c>
      <c r="I47" s="26">
        <f>0</f>
        <v>0</v>
      </c>
      <c r="J47" s="26">
        <f>554505.63</f>
        <v>554505.63</v>
      </c>
      <c r="K47" s="26">
        <f>2</f>
        <v>2</v>
      </c>
      <c r="L47" s="26">
        <f>189296617.6</f>
        <v>189296617.59999999</v>
      </c>
      <c r="M47" s="26">
        <f>203210526.38</f>
        <v>203210526.38</v>
      </c>
      <c r="N47" s="26">
        <f>19595680.23</f>
        <v>19595680.23</v>
      </c>
      <c r="O47" s="15">
        <f>14099.22</f>
        <v>14099.22</v>
      </c>
      <c r="P47" s="15">
        <f>14099.22</f>
        <v>14099.22</v>
      </c>
      <c r="Q47" s="15">
        <f>0</f>
        <v>0</v>
      </c>
    </row>
    <row r="48" spans="1:17" ht="24.75" customHeight="1" x14ac:dyDescent="0.2">
      <c r="A48" s="23" t="s">
        <v>31</v>
      </c>
      <c r="B48" s="26">
        <f>54202022.48</f>
        <v>54202022.479999997</v>
      </c>
      <c r="C48" s="26">
        <f>54202022.48</f>
        <v>54202022.479999997</v>
      </c>
      <c r="D48" s="26">
        <f>17247760.37</f>
        <v>17247760.370000001</v>
      </c>
      <c r="E48" s="26">
        <f>96494.72</f>
        <v>96494.720000000001</v>
      </c>
      <c r="F48" s="26">
        <f>1000000</f>
        <v>1000000</v>
      </c>
      <c r="G48" s="26">
        <f>11372672.65</f>
        <v>11372672.65</v>
      </c>
      <c r="H48" s="26">
        <f>4778593</f>
        <v>4778593</v>
      </c>
      <c r="I48" s="26">
        <f>0</f>
        <v>0</v>
      </c>
      <c r="J48" s="26">
        <f>180000</f>
        <v>180000</v>
      </c>
      <c r="K48" s="26">
        <f>2</f>
        <v>2</v>
      </c>
      <c r="L48" s="26">
        <f>28398586.25</f>
        <v>28398586.25</v>
      </c>
      <c r="M48" s="26">
        <f>1390416.01</f>
        <v>1390416.01</v>
      </c>
      <c r="N48" s="26">
        <f>6985257.85</f>
        <v>6985257.8499999996</v>
      </c>
      <c r="O48" s="15">
        <f>0</f>
        <v>0</v>
      </c>
      <c r="P48" s="15">
        <f>0</f>
        <v>0</v>
      </c>
      <c r="Q48" s="15">
        <f>0</f>
        <v>0</v>
      </c>
    </row>
    <row r="49" spans="1:17" ht="24.75" customHeight="1" x14ac:dyDescent="0.2">
      <c r="A49" s="23" t="s">
        <v>32</v>
      </c>
      <c r="B49" s="26">
        <f>395862912.15</f>
        <v>395862912.14999998</v>
      </c>
      <c r="C49" s="26">
        <f>395848812.93</f>
        <v>395848812.93000001</v>
      </c>
      <c r="D49" s="26">
        <f>20145743.2</f>
        <v>20145743.199999999</v>
      </c>
      <c r="E49" s="26">
        <f>43433.64</f>
        <v>43433.64</v>
      </c>
      <c r="F49" s="26">
        <f>153864</f>
        <v>153864</v>
      </c>
      <c r="G49" s="26">
        <f>19945861.56</f>
        <v>19945861.559999999</v>
      </c>
      <c r="H49" s="26">
        <f>2584</f>
        <v>2584</v>
      </c>
      <c r="I49" s="26">
        <f>0</f>
        <v>0</v>
      </c>
      <c r="J49" s="26">
        <f>374505.63</f>
        <v>374505.63</v>
      </c>
      <c r="K49" s="26">
        <f>0</f>
        <v>0</v>
      </c>
      <c r="L49" s="26">
        <f>160898031.35</f>
        <v>160898031.34999999</v>
      </c>
      <c r="M49" s="26">
        <f>201820110.37</f>
        <v>201820110.37</v>
      </c>
      <c r="N49" s="26">
        <f>12610422.38</f>
        <v>12610422.380000001</v>
      </c>
      <c r="O49" s="15">
        <f>14099.22</f>
        <v>14099.22</v>
      </c>
      <c r="P49" s="15">
        <f>14099.22</f>
        <v>14099.22</v>
      </c>
      <c r="Q49" s="15">
        <f>0</f>
        <v>0</v>
      </c>
    </row>
    <row r="50" spans="1:17" ht="24.75" customHeight="1" x14ac:dyDescent="0.2">
      <c r="A50" s="34" t="s">
        <v>43</v>
      </c>
      <c r="B50" s="35">
        <f>36895970633.38</f>
        <v>36895970633.379997</v>
      </c>
      <c r="C50" s="35">
        <f>36895970633.38</f>
        <v>36895970633.379997</v>
      </c>
      <c r="D50" s="35">
        <f>43604621.63</f>
        <v>43604621.630000003</v>
      </c>
      <c r="E50" s="35">
        <f>3703294.22</f>
        <v>3703294.22</v>
      </c>
      <c r="F50" s="35">
        <f>6204.96</f>
        <v>6204.96</v>
      </c>
      <c r="G50" s="35">
        <f>39895122.45</f>
        <v>39895122.450000003</v>
      </c>
      <c r="H50" s="35">
        <f>0</f>
        <v>0</v>
      </c>
      <c r="I50" s="35">
        <f>0</f>
        <v>0</v>
      </c>
      <c r="J50" s="35">
        <f>36841041562.75</f>
        <v>36841041562.75</v>
      </c>
      <c r="K50" s="35">
        <f>189344.71</f>
        <v>189344.71</v>
      </c>
      <c r="L50" s="35">
        <f>10986289.62</f>
        <v>10986289.619999999</v>
      </c>
      <c r="M50" s="35">
        <f>148814.67</f>
        <v>148814.67000000001</v>
      </c>
      <c r="N50" s="35">
        <f>0</f>
        <v>0</v>
      </c>
      <c r="O50" s="35">
        <f>0</f>
        <v>0</v>
      </c>
      <c r="P50" s="35">
        <f>0</f>
        <v>0</v>
      </c>
      <c r="Q50" s="35">
        <f>0</f>
        <v>0</v>
      </c>
    </row>
    <row r="51" spans="1:17" ht="24.75" customHeight="1" x14ac:dyDescent="0.2">
      <c r="A51" s="23" t="s">
        <v>33</v>
      </c>
      <c r="B51" s="26">
        <f>8612647.24</f>
        <v>8612647.2400000002</v>
      </c>
      <c r="C51" s="26">
        <f>8612647.24</f>
        <v>8612647.2400000002</v>
      </c>
      <c r="D51" s="26">
        <f>8612647.24</f>
        <v>8612647.2400000002</v>
      </c>
      <c r="E51" s="26">
        <f>0</f>
        <v>0</v>
      </c>
      <c r="F51" s="26">
        <f>0</f>
        <v>0</v>
      </c>
      <c r="G51" s="26">
        <f>8612647.24</f>
        <v>8612647.2400000002</v>
      </c>
      <c r="H51" s="26">
        <f>0</f>
        <v>0</v>
      </c>
      <c r="I51" s="26">
        <f>0</f>
        <v>0</v>
      </c>
      <c r="J51" s="26">
        <f>0</f>
        <v>0</v>
      </c>
      <c r="K51" s="26">
        <f>0</f>
        <v>0</v>
      </c>
      <c r="L51" s="26">
        <f>0</f>
        <v>0</v>
      </c>
      <c r="M51" s="26">
        <f>0</f>
        <v>0</v>
      </c>
      <c r="N51" s="26">
        <f>0</f>
        <v>0</v>
      </c>
      <c r="O51" s="15">
        <f>0</f>
        <v>0</v>
      </c>
      <c r="P51" s="15">
        <f>0</f>
        <v>0</v>
      </c>
      <c r="Q51" s="15">
        <f>0</f>
        <v>0</v>
      </c>
    </row>
    <row r="52" spans="1:17" ht="24.75" customHeight="1" x14ac:dyDescent="0.2">
      <c r="A52" s="23" t="s">
        <v>34</v>
      </c>
      <c r="B52" s="26">
        <f>25171574298.5</f>
        <v>25171574298.5</v>
      </c>
      <c r="C52" s="26">
        <f>25171574298.5</f>
        <v>25171574298.5</v>
      </c>
      <c r="D52" s="26">
        <f>31292790.54</f>
        <v>31292790.539999999</v>
      </c>
      <c r="E52" s="26">
        <f>68465.53</f>
        <v>68465.53</v>
      </c>
      <c r="F52" s="26">
        <f>3300</f>
        <v>3300</v>
      </c>
      <c r="G52" s="26">
        <f>31221025.01</f>
        <v>31221025.010000002</v>
      </c>
      <c r="H52" s="26">
        <f>0</f>
        <v>0</v>
      </c>
      <c r="I52" s="26">
        <f>0</f>
        <v>0</v>
      </c>
      <c r="J52" s="26">
        <f>25129365146.12</f>
        <v>25129365146.119999</v>
      </c>
      <c r="K52" s="26">
        <f>185129.08</f>
        <v>185129.08</v>
      </c>
      <c r="L52" s="26">
        <f>10731232.76</f>
        <v>10731232.76</v>
      </c>
      <c r="M52" s="26">
        <f>0</f>
        <v>0</v>
      </c>
      <c r="N52" s="26">
        <f>0</f>
        <v>0</v>
      </c>
      <c r="O52" s="15">
        <f>0</f>
        <v>0</v>
      </c>
      <c r="P52" s="15">
        <f>0</f>
        <v>0</v>
      </c>
      <c r="Q52" s="15">
        <f>0</f>
        <v>0</v>
      </c>
    </row>
    <row r="53" spans="1:17" ht="24.75" customHeight="1" x14ac:dyDescent="0.2">
      <c r="A53" s="23" t="s">
        <v>35</v>
      </c>
      <c r="B53" s="26">
        <f>11715783687.64</f>
        <v>11715783687.639999</v>
      </c>
      <c r="C53" s="26">
        <f>11715783687.64</f>
        <v>11715783687.639999</v>
      </c>
      <c r="D53" s="26">
        <f>3699183.85</f>
        <v>3699183.85</v>
      </c>
      <c r="E53" s="26">
        <f>3634828.69</f>
        <v>3634828.69</v>
      </c>
      <c r="F53" s="26">
        <f>2904.96</f>
        <v>2904.96</v>
      </c>
      <c r="G53" s="26">
        <f>61450.2</f>
        <v>61450.2</v>
      </c>
      <c r="H53" s="26">
        <f>0</f>
        <v>0</v>
      </c>
      <c r="I53" s="26">
        <f>0</f>
        <v>0</v>
      </c>
      <c r="J53" s="26">
        <f>11711676416.63</f>
        <v>11711676416.629999</v>
      </c>
      <c r="K53" s="26">
        <f>4215.63</f>
        <v>4215.63</v>
      </c>
      <c r="L53" s="26">
        <f>255056.86</f>
        <v>255056.86</v>
      </c>
      <c r="M53" s="26">
        <f>148814.67</f>
        <v>148814.67000000001</v>
      </c>
      <c r="N53" s="26">
        <f>0</f>
        <v>0</v>
      </c>
      <c r="O53" s="15">
        <f>0</f>
        <v>0</v>
      </c>
      <c r="P53" s="15">
        <f>0</f>
        <v>0</v>
      </c>
      <c r="Q53" s="15">
        <f>0</f>
        <v>0</v>
      </c>
    </row>
    <row r="54" spans="1:17" ht="24.75" customHeight="1" x14ac:dyDescent="0.2">
      <c r="A54" s="34" t="s">
        <v>44</v>
      </c>
      <c r="B54" s="35">
        <f>10493992640.08</f>
        <v>10493992640.08</v>
      </c>
      <c r="C54" s="35">
        <f>10465140283.61</f>
        <v>10465140283.610001</v>
      </c>
      <c r="D54" s="35">
        <f>93393187.73</f>
        <v>93393187.730000004</v>
      </c>
      <c r="E54" s="35">
        <f>54735500.74</f>
        <v>54735500.740000002</v>
      </c>
      <c r="F54" s="35">
        <f>5279581</f>
        <v>5279581</v>
      </c>
      <c r="G54" s="35">
        <f>32653287.67</f>
        <v>32653287.670000002</v>
      </c>
      <c r="H54" s="35">
        <f>724818.32</f>
        <v>724818.32</v>
      </c>
      <c r="I54" s="35">
        <f>0</f>
        <v>0</v>
      </c>
      <c r="J54" s="35">
        <f>4750640.24</f>
        <v>4750640.24</v>
      </c>
      <c r="K54" s="35">
        <f>15808124.71</f>
        <v>15808124.710000001</v>
      </c>
      <c r="L54" s="35">
        <f>2293099634.78</f>
        <v>2293099634.7800002</v>
      </c>
      <c r="M54" s="35">
        <f>7979971313.94</f>
        <v>7979971313.9399996</v>
      </c>
      <c r="N54" s="35">
        <f>78117382.21</f>
        <v>78117382.209999993</v>
      </c>
      <c r="O54" s="35">
        <f>28852356.47</f>
        <v>28852356.469999999</v>
      </c>
      <c r="P54" s="35">
        <f>19863308.86</f>
        <v>19863308.859999999</v>
      </c>
      <c r="Q54" s="35">
        <f>8989047.61</f>
        <v>8989047.6099999994</v>
      </c>
    </row>
    <row r="55" spans="1:17" ht="24.75" customHeight="1" x14ac:dyDescent="0.2">
      <c r="A55" s="22" t="s">
        <v>36</v>
      </c>
      <c r="B55" s="26">
        <f>1470878695.02</f>
        <v>1470878695.02</v>
      </c>
      <c r="C55" s="26">
        <f>1470528801.62</f>
        <v>1470528801.6199999</v>
      </c>
      <c r="D55" s="26">
        <f>6813386.76</f>
        <v>6813386.7599999998</v>
      </c>
      <c r="E55" s="26">
        <f>718398.25</f>
        <v>718398.25</v>
      </c>
      <c r="F55" s="26">
        <f>87921.42</f>
        <v>87921.42</v>
      </c>
      <c r="G55" s="26">
        <f>5665819.76</f>
        <v>5665819.7599999998</v>
      </c>
      <c r="H55" s="26">
        <f>341247.33</f>
        <v>341247.33</v>
      </c>
      <c r="I55" s="26">
        <f>0</f>
        <v>0</v>
      </c>
      <c r="J55" s="26">
        <f>205478.18</f>
        <v>205478.18</v>
      </c>
      <c r="K55" s="26">
        <f>430856.66</f>
        <v>430856.66</v>
      </c>
      <c r="L55" s="26">
        <f>308796307.21</f>
        <v>308796307.20999998</v>
      </c>
      <c r="M55" s="26">
        <f>1125765094.37</f>
        <v>1125765094.3699999</v>
      </c>
      <c r="N55" s="26">
        <f>28517678.44</f>
        <v>28517678.440000001</v>
      </c>
      <c r="O55" s="15">
        <f>349893.4</f>
        <v>349893.4</v>
      </c>
      <c r="P55" s="15">
        <f>220822.99</f>
        <v>220822.99</v>
      </c>
      <c r="Q55" s="15">
        <f>129070.41</f>
        <v>129070.41</v>
      </c>
    </row>
    <row r="56" spans="1:17" ht="24.75" customHeight="1" x14ac:dyDescent="0.2">
      <c r="A56" s="23" t="s">
        <v>37</v>
      </c>
      <c r="B56" s="26">
        <f>9023113945.06</f>
        <v>9023113945.0599995</v>
      </c>
      <c r="C56" s="26">
        <f>8994611481.99</f>
        <v>8994611481.9899998</v>
      </c>
      <c r="D56" s="26">
        <f>86579800.97</f>
        <v>86579800.969999999</v>
      </c>
      <c r="E56" s="26">
        <f>54017102.49</f>
        <v>54017102.490000002</v>
      </c>
      <c r="F56" s="26">
        <f>5191659.58</f>
        <v>5191659.58</v>
      </c>
      <c r="G56" s="26">
        <f>26987467.91</f>
        <v>26987467.91</v>
      </c>
      <c r="H56" s="26">
        <f>383570.99</f>
        <v>383570.99</v>
      </c>
      <c r="I56" s="26">
        <f>0</f>
        <v>0</v>
      </c>
      <c r="J56" s="26">
        <f>4545162.06</f>
        <v>4545162.0599999996</v>
      </c>
      <c r="K56" s="26">
        <f>15377268.05</f>
        <v>15377268.050000001</v>
      </c>
      <c r="L56" s="26">
        <f>1984303327.57</f>
        <v>1984303327.5699999</v>
      </c>
      <c r="M56" s="26">
        <f>6854206219.57</f>
        <v>6854206219.5699997</v>
      </c>
      <c r="N56" s="26">
        <f>49599703.77</f>
        <v>49599703.770000003</v>
      </c>
      <c r="O56" s="15">
        <f>28502463.07</f>
        <v>28502463.07</v>
      </c>
      <c r="P56" s="15">
        <f>19642485.87</f>
        <v>19642485.870000001</v>
      </c>
      <c r="Q56" s="15">
        <f>8859977.2</f>
        <v>8859977.1999999993</v>
      </c>
    </row>
    <row r="57" spans="1:17" ht="24.75" customHeight="1" x14ac:dyDescent="0.2">
      <c r="A57" s="34" t="s">
        <v>45</v>
      </c>
      <c r="B57" s="35">
        <f>18349586142.12</f>
        <v>18349586142.119999</v>
      </c>
      <c r="C57" s="35">
        <f>18347528934.31</f>
        <v>18347528934.310001</v>
      </c>
      <c r="D57" s="35">
        <f>798187851.21</f>
        <v>798187851.21000004</v>
      </c>
      <c r="E57" s="35">
        <f>401289031.62</f>
        <v>401289031.62</v>
      </c>
      <c r="F57" s="35">
        <f>53960810.33</f>
        <v>53960810.329999998</v>
      </c>
      <c r="G57" s="35">
        <f>327362002.66</f>
        <v>327362002.66000003</v>
      </c>
      <c r="H57" s="35">
        <f>15576006.6</f>
        <v>15576006.6</v>
      </c>
      <c r="I57" s="35">
        <f>258206</f>
        <v>258206</v>
      </c>
      <c r="J57" s="35">
        <f>13371867.31</f>
        <v>13371867.310000001</v>
      </c>
      <c r="K57" s="35">
        <f>86026367.58</f>
        <v>86026367.579999998</v>
      </c>
      <c r="L57" s="35">
        <f>9902284591.05</f>
        <v>9902284591.0499992</v>
      </c>
      <c r="M57" s="35">
        <f>7309302688.13</f>
        <v>7309302688.1300001</v>
      </c>
      <c r="N57" s="35">
        <f>238097363.03</f>
        <v>238097363.03</v>
      </c>
      <c r="O57" s="35">
        <f>2057207.81</f>
        <v>2057207.81</v>
      </c>
      <c r="P57" s="35">
        <f>1422363.67</f>
        <v>1422363.67</v>
      </c>
      <c r="Q57" s="35">
        <f>634844.14</f>
        <v>634844.14</v>
      </c>
    </row>
    <row r="58" spans="1:17" ht="30" customHeight="1" x14ac:dyDescent="0.2">
      <c r="A58" s="22" t="s">
        <v>38</v>
      </c>
      <c r="B58" s="26">
        <f>1030494332.18</f>
        <v>1030494332.1799999</v>
      </c>
      <c r="C58" s="26">
        <f>1030047999.98</f>
        <v>1030047999.98</v>
      </c>
      <c r="D58" s="26">
        <f>62643509.63</f>
        <v>62643509.630000003</v>
      </c>
      <c r="E58" s="26">
        <f>5770771.3</f>
        <v>5770771.2999999998</v>
      </c>
      <c r="F58" s="26">
        <f>1578653.38</f>
        <v>1578653.38</v>
      </c>
      <c r="G58" s="26">
        <f>50516009.31</f>
        <v>50516009.310000002</v>
      </c>
      <c r="H58" s="26">
        <f>4778075.64</f>
        <v>4778075.6399999997</v>
      </c>
      <c r="I58" s="26">
        <f>0</f>
        <v>0</v>
      </c>
      <c r="J58" s="26">
        <f>622514.38</f>
        <v>622514.38</v>
      </c>
      <c r="K58" s="26">
        <f>1006738.6</f>
        <v>1006738.6</v>
      </c>
      <c r="L58" s="26">
        <f>367627373.58</f>
        <v>367627373.57999998</v>
      </c>
      <c r="M58" s="26">
        <f>577507711.37</f>
        <v>577507711.37</v>
      </c>
      <c r="N58" s="26">
        <f>20640152.42</f>
        <v>20640152.420000002</v>
      </c>
      <c r="O58" s="15">
        <f>446332.2</f>
        <v>446332.2</v>
      </c>
      <c r="P58" s="15">
        <f>205049.1</f>
        <v>205049.1</v>
      </c>
      <c r="Q58" s="15">
        <f>241283.1</f>
        <v>241283.1</v>
      </c>
    </row>
    <row r="59" spans="1:17" ht="36" x14ac:dyDescent="0.2">
      <c r="A59" s="22" t="s">
        <v>39</v>
      </c>
      <c r="B59" s="26">
        <f>11437053521.64</f>
        <v>11437053521.639999</v>
      </c>
      <c r="C59" s="26">
        <f>11435546427.28</f>
        <v>11435546427.280001</v>
      </c>
      <c r="D59" s="26">
        <f>319139176.33</f>
        <v>319139176.32999998</v>
      </c>
      <c r="E59" s="26">
        <f>160094979.33</f>
        <v>160094979.33000001</v>
      </c>
      <c r="F59" s="26">
        <f>35117395.24</f>
        <v>35117395.240000002</v>
      </c>
      <c r="G59" s="26">
        <f>119695705.38</f>
        <v>119695705.38</v>
      </c>
      <c r="H59" s="26">
        <f>4231096.38</f>
        <v>4231096.38</v>
      </c>
      <c r="I59" s="26">
        <f>258206</f>
        <v>258206</v>
      </c>
      <c r="J59" s="26">
        <f>9917934.21</f>
        <v>9917934.2100000009</v>
      </c>
      <c r="K59" s="26">
        <f>37640235.84</f>
        <v>37640235.840000004</v>
      </c>
      <c r="L59" s="26">
        <f>7297450244.77</f>
        <v>7297450244.7700005</v>
      </c>
      <c r="M59" s="26">
        <f>3712220218.97</f>
        <v>3712220218.9699998</v>
      </c>
      <c r="N59" s="26">
        <f>58920411.16</f>
        <v>58920411.159999996</v>
      </c>
      <c r="O59" s="15">
        <f>1507094.36</f>
        <v>1507094.36</v>
      </c>
      <c r="P59" s="15">
        <f>1138097.04</f>
        <v>1138097.04</v>
      </c>
      <c r="Q59" s="15">
        <f>368997.32</f>
        <v>368997.32</v>
      </c>
    </row>
    <row r="60" spans="1:17" ht="30.75" customHeight="1" x14ac:dyDescent="0.2">
      <c r="A60" s="22" t="s">
        <v>40</v>
      </c>
      <c r="B60" s="26">
        <f>5882038288.3</f>
        <v>5882038288.3000002</v>
      </c>
      <c r="C60" s="26">
        <f>5881934507.05</f>
        <v>5881934507.0500002</v>
      </c>
      <c r="D60" s="26">
        <f>416405165.25</f>
        <v>416405165.25</v>
      </c>
      <c r="E60" s="26">
        <f>235423280.99</f>
        <v>235423280.99000001</v>
      </c>
      <c r="F60" s="26">
        <f>17264761.71</f>
        <v>17264761.710000001</v>
      </c>
      <c r="G60" s="26">
        <f>157150287.97</f>
        <v>157150287.97</v>
      </c>
      <c r="H60" s="26">
        <f>6566834.58</f>
        <v>6566834.5800000001</v>
      </c>
      <c r="I60" s="26">
        <f>0</f>
        <v>0</v>
      </c>
      <c r="J60" s="26">
        <f>2831418.72</f>
        <v>2831418.72</v>
      </c>
      <c r="K60" s="26">
        <f>47379393.14</f>
        <v>47379393.140000001</v>
      </c>
      <c r="L60" s="26">
        <f>2237206972.7</f>
        <v>2237206972.6999998</v>
      </c>
      <c r="M60" s="26">
        <f>3019574757.79</f>
        <v>3019574757.79</v>
      </c>
      <c r="N60" s="26">
        <f>158536799.45</f>
        <v>158536799.44999999</v>
      </c>
      <c r="O60" s="15">
        <f>103781.25</f>
        <v>103781.25</v>
      </c>
      <c r="P60" s="15">
        <f>79217.53</f>
        <v>79217.53</v>
      </c>
      <c r="Q60" s="15">
        <f>24563.72</f>
        <v>24563.72</v>
      </c>
    </row>
    <row r="77" spans="1:13" ht="75" customHeight="1" x14ac:dyDescent="0.2">
      <c r="A77" s="40" t="str">
        <f>CONCATENATE("Informacja z wykonania budżetów gmin za ",$C$104," ",$B$105," roku   ",$B$107,"")</f>
        <v xml:space="preserve">Informacja z wykonania budżetów gmin za II Kwartały 2025 roku   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</row>
    <row r="78" spans="1:13" ht="13.5" customHeight="1" x14ac:dyDescent="0.2">
      <c r="B78" s="80" t="s">
        <v>2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</row>
    <row r="80" spans="1:13" ht="13.5" customHeight="1" x14ac:dyDescent="0.2">
      <c r="B80" s="46" t="s">
        <v>0</v>
      </c>
      <c r="C80" s="47"/>
      <c r="D80" s="47"/>
      <c r="E80" s="48"/>
      <c r="F80" s="58" t="s">
        <v>72</v>
      </c>
      <c r="G80" s="62" t="s">
        <v>78</v>
      </c>
      <c r="H80" s="70"/>
      <c r="I80" s="70"/>
      <c r="J80" s="70"/>
      <c r="K80" s="70"/>
      <c r="L80" s="71"/>
    </row>
    <row r="81" spans="1:13" ht="13.5" customHeight="1" x14ac:dyDescent="0.2">
      <c r="B81" s="49"/>
      <c r="C81" s="50"/>
      <c r="D81" s="50"/>
      <c r="E81" s="51"/>
      <c r="F81" s="59"/>
      <c r="G81" s="61" t="s">
        <v>73</v>
      </c>
      <c r="H81" s="45" t="s">
        <v>70</v>
      </c>
      <c r="I81" s="45" t="s">
        <v>71</v>
      </c>
      <c r="J81" s="45" t="s">
        <v>74</v>
      </c>
      <c r="K81" s="45" t="s">
        <v>75</v>
      </c>
      <c r="L81" s="65" t="s">
        <v>76</v>
      </c>
    </row>
    <row r="82" spans="1:13" ht="13.5" customHeight="1" x14ac:dyDescent="0.2">
      <c r="B82" s="49"/>
      <c r="C82" s="50"/>
      <c r="D82" s="50"/>
      <c r="E82" s="51"/>
      <c r="F82" s="59"/>
      <c r="G82" s="61"/>
      <c r="H82" s="45"/>
      <c r="I82" s="45"/>
      <c r="J82" s="45"/>
      <c r="K82" s="45"/>
      <c r="L82" s="65"/>
    </row>
    <row r="83" spans="1:13" ht="11.25" customHeight="1" x14ac:dyDescent="0.2">
      <c r="B83" s="49"/>
      <c r="C83" s="50"/>
      <c r="D83" s="50"/>
      <c r="E83" s="51"/>
      <c r="F83" s="59"/>
      <c r="G83" s="61"/>
      <c r="H83" s="45"/>
      <c r="I83" s="45"/>
      <c r="J83" s="45"/>
      <c r="K83" s="45"/>
      <c r="L83" s="65"/>
    </row>
    <row r="84" spans="1:13" ht="11.25" customHeight="1" x14ac:dyDescent="0.2">
      <c r="B84" s="52"/>
      <c r="C84" s="53"/>
      <c r="D84" s="53"/>
      <c r="E84" s="54"/>
      <c r="F84" s="60"/>
      <c r="G84" s="61"/>
      <c r="H84" s="45"/>
      <c r="I84" s="45"/>
      <c r="J84" s="45"/>
      <c r="K84" s="45"/>
      <c r="L84" s="65"/>
    </row>
    <row r="85" spans="1:13" ht="11.25" customHeight="1" x14ac:dyDescent="0.2">
      <c r="B85" s="45">
        <v>1</v>
      </c>
      <c r="C85" s="45"/>
      <c r="D85" s="45"/>
      <c r="E85" s="45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13">
        <v>8</v>
      </c>
    </row>
    <row r="86" spans="1:13" ht="13.5" customHeight="1" x14ac:dyDescent="0.2">
      <c r="B86" s="45"/>
      <c r="C86" s="45"/>
      <c r="D86" s="45"/>
      <c r="E86" s="45"/>
      <c r="F86" s="62" t="s">
        <v>80</v>
      </c>
      <c r="G86" s="63"/>
      <c r="H86" s="63"/>
      <c r="I86" s="63"/>
      <c r="J86" s="63"/>
      <c r="K86" s="63"/>
      <c r="L86" s="64"/>
    </row>
    <row r="87" spans="1:13" ht="33.75" customHeight="1" x14ac:dyDescent="0.2">
      <c r="B87" s="55" t="s">
        <v>57</v>
      </c>
      <c r="C87" s="56"/>
      <c r="D87" s="56"/>
      <c r="E87" s="57"/>
      <c r="F87" s="33">
        <f>2538060399.93</f>
        <v>2538060399.9299998</v>
      </c>
      <c r="G87" s="33">
        <f>1830605922.04</f>
        <v>1830605922.04</v>
      </c>
      <c r="H87" s="33">
        <f>16842165.1</f>
        <v>16842165.100000001</v>
      </c>
      <c r="I87" s="33">
        <f>125990001.55</f>
        <v>125990001.55</v>
      </c>
      <c r="J87" s="33">
        <f>1664033132.76</f>
        <v>1664033132.76</v>
      </c>
      <c r="K87" s="33">
        <f>23740622.63</f>
        <v>23740622.629999999</v>
      </c>
      <c r="L87" s="33">
        <f>707454477.89</f>
        <v>707454477.88999999</v>
      </c>
    </row>
    <row r="88" spans="1:13" ht="33.75" customHeight="1" x14ac:dyDescent="0.2">
      <c r="B88" s="55" t="s">
        <v>58</v>
      </c>
      <c r="C88" s="56"/>
      <c r="D88" s="56"/>
      <c r="E88" s="57"/>
      <c r="F88" s="33">
        <f>11638442.62</f>
        <v>11638442.619999999</v>
      </c>
      <c r="G88" s="33">
        <f>689495</f>
        <v>689495</v>
      </c>
      <c r="H88" s="33">
        <f>689495</f>
        <v>689495</v>
      </c>
      <c r="I88" s="33">
        <f>0</f>
        <v>0</v>
      </c>
      <c r="J88" s="33">
        <f>0</f>
        <v>0</v>
      </c>
      <c r="K88" s="33">
        <f>0</f>
        <v>0</v>
      </c>
      <c r="L88" s="33">
        <f>10948947.62</f>
        <v>10948947.619999999</v>
      </c>
    </row>
    <row r="89" spans="1:13" ht="33.75" customHeight="1" x14ac:dyDescent="0.2">
      <c r="B89" s="55" t="s">
        <v>59</v>
      </c>
      <c r="C89" s="56"/>
      <c r="D89" s="56"/>
      <c r="E89" s="57"/>
      <c r="F89" s="33">
        <f>25668800.56</f>
        <v>25668800.559999999</v>
      </c>
      <c r="G89" s="33">
        <f>6321262.38</f>
        <v>6321262.3799999999</v>
      </c>
      <c r="H89" s="33">
        <f>47200</f>
        <v>47200</v>
      </c>
      <c r="I89" s="33">
        <f>61487</f>
        <v>61487</v>
      </c>
      <c r="J89" s="33">
        <f>6102989.34</f>
        <v>6102989.3399999999</v>
      </c>
      <c r="K89" s="33">
        <f>109586.04</f>
        <v>109586.04</v>
      </c>
      <c r="L89" s="33">
        <f>19347538.18</f>
        <v>19347538.18</v>
      </c>
    </row>
    <row r="90" spans="1:13" ht="22.5" customHeight="1" x14ac:dyDescent="0.2">
      <c r="B90" s="55" t="s">
        <v>60</v>
      </c>
      <c r="C90" s="56"/>
      <c r="D90" s="56"/>
      <c r="E90" s="57"/>
      <c r="F90" s="33">
        <f>27500404.13</f>
        <v>27500404.129999999</v>
      </c>
      <c r="G90" s="33">
        <f>22141544.1</f>
        <v>22141544.100000001</v>
      </c>
      <c r="H90" s="33">
        <f>0</f>
        <v>0</v>
      </c>
      <c r="I90" s="33">
        <f>0</f>
        <v>0</v>
      </c>
      <c r="J90" s="33">
        <f>22141544.1</f>
        <v>22141544.100000001</v>
      </c>
      <c r="K90" s="33">
        <f>0</f>
        <v>0</v>
      </c>
      <c r="L90" s="33">
        <f>5358860.03</f>
        <v>5358860.03</v>
      </c>
    </row>
    <row r="91" spans="1:13" ht="33.75" customHeight="1" x14ac:dyDescent="0.2">
      <c r="B91" s="55" t="s">
        <v>61</v>
      </c>
      <c r="C91" s="56"/>
      <c r="D91" s="56"/>
      <c r="E91" s="57"/>
      <c r="F91" s="33">
        <f>73603.35</f>
        <v>73603.350000000006</v>
      </c>
      <c r="G91" s="33">
        <f>22281.75</f>
        <v>22281.75</v>
      </c>
      <c r="H91" s="33">
        <f>0</f>
        <v>0</v>
      </c>
      <c r="I91" s="33">
        <f>0</f>
        <v>0</v>
      </c>
      <c r="J91" s="33">
        <f>0</f>
        <v>0</v>
      </c>
      <c r="K91" s="33">
        <f>22281.75</f>
        <v>22281.75</v>
      </c>
      <c r="L91" s="33">
        <f>51321.6</f>
        <v>51321.599999999999</v>
      </c>
    </row>
    <row r="92" spans="1:13" ht="33.75" customHeight="1" x14ac:dyDescent="0.2">
      <c r="B92" s="55" t="s">
        <v>62</v>
      </c>
      <c r="C92" s="56"/>
      <c r="D92" s="56"/>
      <c r="E92" s="57"/>
      <c r="F92" s="33">
        <f>987169.56</f>
        <v>987169.56</v>
      </c>
      <c r="G92" s="33">
        <f>30000</f>
        <v>30000</v>
      </c>
      <c r="H92" s="33">
        <f>0</f>
        <v>0</v>
      </c>
      <c r="I92" s="33">
        <f>30000</f>
        <v>30000</v>
      </c>
      <c r="J92" s="33">
        <f>0</f>
        <v>0</v>
      </c>
      <c r="K92" s="33">
        <f>0</f>
        <v>0</v>
      </c>
      <c r="L92" s="33">
        <f>957169.56</f>
        <v>957169.56</v>
      </c>
    </row>
    <row r="93" spans="1:13" ht="22.5" customHeight="1" x14ac:dyDescent="0.2">
      <c r="B93" s="55" t="s">
        <v>63</v>
      </c>
      <c r="C93" s="56"/>
      <c r="D93" s="56"/>
      <c r="E93" s="57"/>
      <c r="F93" s="33">
        <f>50000</f>
        <v>50000</v>
      </c>
      <c r="G93" s="33">
        <f>0</f>
        <v>0</v>
      </c>
      <c r="H93" s="33">
        <f>0</f>
        <v>0</v>
      </c>
      <c r="I93" s="33">
        <f>0</f>
        <v>0</v>
      </c>
      <c r="J93" s="33">
        <f>0</f>
        <v>0</v>
      </c>
      <c r="K93" s="33">
        <f>0</f>
        <v>0</v>
      </c>
      <c r="L93" s="33">
        <f>50000</f>
        <v>50000</v>
      </c>
    </row>
    <row r="96" spans="1:13" ht="75" customHeight="1" x14ac:dyDescent="0.2">
      <c r="A96" s="40" t="str">
        <f>CONCATENATE("Informacja z wykonania budżetów gmin za ",$C$104," ",$B$105," roku   ",$B$107,"")</f>
        <v xml:space="preserve">Informacja z wykonania budżetów gmin za II Kwartały 2025 roku   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</row>
    <row r="97" spans="1:11" ht="13.5" customHeight="1" x14ac:dyDescent="0.2">
      <c r="B97" s="4"/>
    </row>
    <row r="98" spans="1:11" ht="13.5" customHeight="1" x14ac:dyDescent="0.2">
      <c r="B98" s="5"/>
      <c r="C98" s="62"/>
      <c r="D98" s="70"/>
      <c r="E98" s="70"/>
      <c r="F98" s="71"/>
      <c r="G98" s="62" t="s">
        <v>3</v>
      </c>
      <c r="H98" s="71"/>
      <c r="I98" s="62" t="s">
        <v>4</v>
      </c>
      <c r="J98" s="71"/>
      <c r="K98" s="5"/>
    </row>
    <row r="99" spans="1:11" ht="13.5" customHeight="1" x14ac:dyDescent="0.2">
      <c r="B99" s="6"/>
      <c r="C99" s="72" t="s">
        <v>5</v>
      </c>
      <c r="D99" s="73"/>
      <c r="E99" s="73"/>
      <c r="F99" s="74"/>
      <c r="G99" s="66">
        <f>2264</f>
        <v>2264</v>
      </c>
      <c r="H99" s="67"/>
      <c r="I99" s="68">
        <f>18679340173.28</f>
        <v>18679340173.279999</v>
      </c>
      <c r="J99" s="69"/>
      <c r="K99" s="7"/>
    </row>
    <row r="100" spans="1:11" ht="13.5" customHeight="1" x14ac:dyDescent="0.2">
      <c r="B100" s="6"/>
      <c r="C100" s="55" t="s">
        <v>6</v>
      </c>
      <c r="D100" s="56"/>
      <c r="E100" s="56"/>
      <c r="F100" s="57"/>
      <c r="G100" s="75">
        <f>149</f>
        <v>149</v>
      </c>
      <c r="H100" s="76"/>
      <c r="I100" s="77">
        <f>-445120932.21</f>
        <v>-445120932.20999998</v>
      </c>
      <c r="J100" s="78"/>
      <c r="K100" s="7"/>
    </row>
    <row r="101" spans="1:11" ht="13.5" customHeight="1" x14ac:dyDescent="0.2">
      <c r="B101" s="6"/>
      <c r="C101" s="72" t="s">
        <v>7</v>
      </c>
      <c r="D101" s="73"/>
      <c r="E101" s="73"/>
      <c r="F101" s="74"/>
      <c r="G101" s="66">
        <f>0</f>
        <v>0</v>
      </c>
      <c r="H101" s="67"/>
      <c r="I101" s="68">
        <f>0</f>
        <v>0</v>
      </c>
      <c r="J101" s="69"/>
      <c r="K101" s="7"/>
    </row>
    <row r="104" spans="1:11" ht="13.5" customHeight="1" x14ac:dyDescent="0.2">
      <c r="A104" s="8" t="s">
        <v>8</v>
      </c>
      <c r="B104" s="8">
        <f>2</f>
        <v>2</v>
      </c>
      <c r="C104" s="8" t="str">
        <f>IF(B104=1,"I Kwartał",IF(B104=2,"II Kwartały",IF(B104=3,"III Kwartały",IF(B104=4,"IV Kwartały","-"))))</f>
        <v>II Kwartały</v>
      </c>
    </row>
    <row r="105" spans="1:11" ht="13.5" customHeight="1" x14ac:dyDescent="0.2">
      <c r="A105" s="8" t="s">
        <v>9</v>
      </c>
      <c r="B105" s="8">
        <f>2025</f>
        <v>2025</v>
      </c>
      <c r="C105" s="9"/>
    </row>
    <row r="106" spans="1:11" ht="13.5" customHeight="1" x14ac:dyDescent="0.2">
      <c r="A106" s="8" t="s">
        <v>10</v>
      </c>
      <c r="B106" s="10" t="str">
        <f>"Aug 15 2025 12:00AM"</f>
        <v>Aug 15 2025 12:00AM</v>
      </c>
      <c r="C106" s="9"/>
    </row>
    <row r="107" spans="1:11" ht="13.5" customHeight="1" x14ac:dyDescent="0.2">
      <c r="A107" s="16" t="s">
        <v>79</v>
      </c>
      <c r="B107" s="10" t="str">
        <f>""</f>
        <v/>
      </c>
    </row>
  </sheetData>
  <mergeCells count="79">
    <mergeCell ref="B38:B41"/>
    <mergeCell ref="N39:N41"/>
    <mergeCell ref="O39:O41"/>
    <mergeCell ref="H81:H84"/>
    <mergeCell ref="I81:I84"/>
    <mergeCell ref="J81:J84"/>
    <mergeCell ref="B78:M78"/>
    <mergeCell ref="D39:D41"/>
    <mergeCell ref="M39:M41"/>
    <mergeCell ref="B43:Q43"/>
    <mergeCell ref="C39:C41"/>
    <mergeCell ref="E39:E41"/>
    <mergeCell ref="K81:K84"/>
    <mergeCell ref="F39:F41"/>
    <mergeCell ref="G39:G41"/>
    <mergeCell ref="H39:H41"/>
    <mergeCell ref="K39:K41"/>
    <mergeCell ref="I39:I41"/>
    <mergeCell ref="J39:J41"/>
    <mergeCell ref="A1:M1"/>
    <mergeCell ref="C5:M5"/>
    <mergeCell ref="A3:M3"/>
    <mergeCell ref="K7:K10"/>
    <mergeCell ref="C7:C10"/>
    <mergeCell ref="H7:H10"/>
    <mergeCell ref="I7:I10"/>
    <mergeCell ref="J7:J10"/>
    <mergeCell ref="L7:L10"/>
    <mergeCell ref="M7:M10"/>
    <mergeCell ref="B6:B10"/>
    <mergeCell ref="A6:A10"/>
    <mergeCell ref="C6:N6"/>
    <mergeCell ref="D7:D10"/>
    <mergeCell ref="E7:E10"/>
    <mergeCell ref="G7:G10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I99:J99"/>
    <mergeCell ref="I98:J98"/>
    <mergeCell ref="B86:E86"/>
    <mergeCell ref="B80:E84"/>
    <mergeCell ref="B93:E93"/>
    <mergeCell ref="A96:M96"/>
    <mergeCell ref="B89:E89"/>
    <mergeCell ref="B90:E90"/>
    <mergeCell ref="B91:E91"/>
    <mergeCell ref="B92:E92"/>
    <mergeCell ref="B88:E88"/>
    <mergeCell ref="B87:E87"/>
    <mergeCell ref="F80:F84"/>
    <mergeCell ref="G81:G84"/>
    <mergeCell ref="B85:E85"/>
    <mergeCell ref="F86:L86"/>
    <mergeCell ref="L81:L84"/>
    <mergeCell ref="G80:L80"/>
    <mergeCell ref="O6:Q6"/>
    <mergeCell ref="O7:O10"/>
    <mergeCell ref="A77:M77"/>
    <mergeCell ref="L39:L41"/>
    <mergeCell ref="P39:P41"/>
    <mergeCell ref="Q39:Q41"/>
    <mergeCell ref="Q7:Q10"/>
    <mergeCell ref="C38:N38"/>
    <mergeCell ref="N7:N10"/>
    <mergeCell ref="P7:P10"/>
    <mergeCell ref="A34:M34"/>
    <mergeCell ref="O38:Q38"/>
    <mergeCell ref="A36:M36"/>
    <mergeCell ref="F7:F10"/>
    <mergeCell ref="B12:Q12"/>
    <mergeCell ref="A38:A4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2025-08-21T11:41:48Z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2025-08-19T09:06:05.0376870+02:00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GRN-2d19cc63-126f-431a-89ec-fc992b9cca50</vt:lpwstr>
  </property>
  <property fmtid="{D5CDD505-2E9C-101B-9397-08002B2CF9AE}" pid="7" name="MFHash">
    <vt:lpwstr>vU++L+X3FeEpVq4aLC6I8NiyGPiktNbEddU4gDkav00=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