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HCY\Documents\```ST7\Besti@\2025\II kwartał\2025.08.15 Dane ostateczne\Zbiorówki_2025_k2_2025.08.15\Publikacja\"/>
    </mc:Choice>
  </mc:AlternateContent>
  <xr:revisionPtr revIDLastSave="0" documentId="13_ncr:1_{2828D933-5BDE-497F-A9E8-9DFB300424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och_wyd" sheetId="4" r:id="rId1"/>
  </sheets>
  <definedNames>
    <definedName name="_xlnm.Print_Area" localSheetId="0">doch_wyd!$A$1:$M$131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1" i="4" l="1"/>
  <c r="C130" i="4"/>
  <c r="C129" i="4"/>
  <c r="D127" i="4"/>
  <c r="C127" i="4"/>
  <c r="D126" i="4"/>
  <c r="C126" i="4"/>
  <c r="D125" i="4"/>
  <c r="C125" i="4"/>
  <c r="D124" i="4"/>
  <c r="C124" i="4"/>
  <c r="D123" i="4"/>
  <c r="C123" i="4"/>
  <c r="D122" i="4"/>
  <c r="C122" i="4"/>
  <c r="D121" i="4"/>
  <c r="C121" i="4"/>
  <c r="D120" i="4"/>
  <c r="C120" i="4"/>
  <c r="D119" i="4"/>
  <c r="C119" i="4"/>
  <c r="D114" i="4"/>
  <c r="C114" i="4"/>
  <c r="D113" i="4"/>
  <c r="C113" i="4"/>
  <c r="D112" i="4"/>
  <c r="C112" i="4"/>
  <c r="D111" i="4"/>
  <c r="C111" i="4"/>
  <c r="D110" i="4"/>
  <c r="C110" i="4"/>
  <c r="D109" i="4"/>
  <c r="C109" i="4"/>
  <c r="D108" i="4"/>
  <c r="C108" i="4"/>
  <c r="D107" i="4"/>
  <c r="C107" i="4"/>
  <c r="D106" i="4"/>
  <c r="C106" i="4"/>
  <c r="D105" i="4"/>
  <c r="C105" i="4"/>
  <c r="D104" i="4"/>
  <c r="C104" i="4"/>
  <c r="D103" i="4"/>
  <c r="C103" i="4"/>
  <c r="D102" i="4"/>
  <c r="C102" i="4"/>
  <c r="D101" i="4"/>
  <c r="C101" i="4"/>
  <c r="D100" i="4"/>
  <c r="C100" i="4"/>
  <c r="D99" i="4"/>
  <c r="C99" i="4"/>
  <c r="D98" i="4"/>
  <c r="C98" i="4"/>
  <c r="I92" i="4"/>
  <c r="H92" i="4"/>
  <c r="G92" i="4"/>
  <c r="F92" i="4"/>
  <c r="E92" i="4"/>
  <c r="D92" i="4"/>
  <c r="C92" i="4"/>
  <c r="I91" i="4"/>
  <c r="H91" i="4"/>
  <c r="G91" i="4"/>
  <c r="F91" i="4"/>
  <c r="E91" i="4"/>
  <c r="D91" i="4"/>
  <c r="C91" i="4"/>
  <c r="G88" i="4"/>
  <c r="F88" i="4"/>
  <c r="E88" i="4"/>
  <c r="D88" i="4"/>
  <c r="C88" i="4"/>
  <c r="G87" i="4"/>
  <c r="F87" i="4"/>
  <c r="E87" i="4"/>
  <c r="D87" i="4"/>
  <c r="C87" i="4"/>
  <c r="G83" i="4"/>
  <c r="F83" i="4"/>
  <c r="E83" i="4"/>
  <c r="D83" i="4"/>
  <c r="C83" i="4"/>
  <c r="G82" i="4"/>
  <c r="F82" i="4"/>
  <c r="E82" i="4"/>
  <c r="D82" i="4"/>
  <c r="C82" i="4"/>
  <c r="I74" i="4"/>
  <c r="H74" i="4"/>
  <c r="G74" i="4"/>
  <c r="F74" i="4"/>
  <c r="E74" i="4"/>
  <c r="D74" i="4"/>
  <c r="C74" i="4"/>
  <c r="I73" i="4"/>
  <c r="H73" i="4"/>
  <c r="G73" i="4"/>
  <c r="F73" i="4"/>
  <c r="E73" i="4"/>
  <c r="D73" i="4"/>
  <c r="C73" i="4"/>
  <c r="I72" i="4"/>
  <c r="H72" i="4"/>
  <c r="G72" i="4"/>
  <c r="F72" i="4"/>
  <c r="E72" i="4"/>
  <c r="D72" i="4"/>
  <c r="C72" i="4"/>
  <c r="I71" i="4"/>
  <c r="H71" i="4"/>
  <c r="G71" i="4"/>
  <c r="F71" i="4"/>
  <c r="E71" i="4"/>
  <c r="D71" i="4"/>
  <c r="C71" i="4"/>
  <c r="I70" i="4"/>
  <c r="H70" i="4"/>
  <c r="G70" i="4"/>
  <c r="F70" i="4"/>
  <c r="E70" i="4"/>
  <c r="D70" i="4"/>
  <c r="C70" i="4"/>
  <c r="I68" i="4"/>
  <c r="H68" i="4"/>
  <c r="G68" i="4"/>
  <c r="F68" i="4"/>
  <c r="E68" i="4"/>
  <c r="D68" i="4"/>
  <c r="C68" i="4"/>
  <c r="I67" i="4"/>
  <c r="H67" i="4"/>
  <c r="G67" i="4"/>
  <c r="F67" i="4"/>
  <c r="E67" i="4"/>
  <c r="D67" i="4"/>
  <c r="C67" i="4"/>
  <c r="I66" i="4"/>
  <c r="I69" i="4" s="1"/>
  <c r="I75" i="4" s="1"/>
  <c r="H66" i="4"/>
  <c r="G66" i="4"/>
  <c r="F66" i="4"/>
  <c r="E66" i="4"/>
  <c r="D66" i="4"/>
  <c r="C66" i="4"/>
  <c r="I56" i="4"/>
  <c r="H56" i="4"/>
  <c r="G56" i="4"/>
  <c r="F56" i="4"/>
  <c r="E56" i="4"/>
  <c r="D56" i="4"/>
  <c r="D57" i="4" s="1"/>
  <c r="C56" i="4"/>
  <c r="D53" i="4"/>
  <c r="C53" i="4"/>
  <c r="D52" i="4"/>
  <c r="C52" i="4"/>
  <c r="D51" i="4"/>
  <c r="C51" i="4"/>
  <c r="D50" i="4"/>
  <c r="C50" i="4"/>
  <c r="K50" i="4" s="1"/>
  <c r="D49" i="4"/>
  <c r="C49" i="4"/>
  <c r="D48" i="4"/>
  <c r="K48" i="4" s="1"/>
  <c r="C48" i="4"/>
  <c r="D47" i="4"/>
  <c r="C47" i="4"/>
  <c r="D46" i="4"/>
  <c r="C46" i="4"/>
  <c r="D45" i="4"/>
  <c r="C45" i="4"/>
  <c r="D44" i="4"/>
  <c r="C44" i="4"/>
  <c r="C27" i="4" s="1"/>
  <c r="C26" i="4" s="1"/>
  <c r="D43" i="4"/>
  <c r="C43" i="4"/>
  <c r="D42" i="4"/>
  <c r="C42" i="4"/>
  <c r="D41" i="4"/>
  <c r="C41" i="4"/>
  <c r="K41" i="4" s="1"/>
  <c r="D40" i="4"/>
  <c r="J40" i="4" s="1"/>
  <c r="C40" i="4"/>
  <c r="D39" i="4"/>
  <c r="C39" i="4"/>
  <c r="D38" i="4"/>
  <c r="C38" i="4"/>
  <c r="D37" i="4"/>
  <c r="C37" i="4"/>
  <c r="D36" i="4"/>
  <c r="C36" i="4"/>
  <c r="D35" i="4"/>
  <c r="C35" i="4"/>
  <c r="D34" i="4"/>
  <c r="C34" i="4"/>
  <c r="D33" i="4"/>
  <c r="C33" i="4"/>
  <c r="D32" i="4"/>
  <c r="C32" i="4"/>
  <c r="D31" i="4"/>
  <c r="C31" i="4"/>
  <c r="D30" i="4"/>
  <c r="C30" i="4"/>
  <c r="D29" i="4"/>
  <c r="C29" i="4"/>
  <c r="D28" i="4"/>
  <c r="C28" i="4"/>
  <c r="I24" i="4"/>
  <c r="H24" i="4"/>
  <c r="G24" i="4"/>
  <c r="F24" i="4"/>
  <c r="E24" i="4"/>
  <c r="D24" i="4"/>
  <c r="C24" i="4"/>
  <c r="I23" i="4"/>
  <c r="H23" i="4"/>
  <c r="G23" i="4"/>
  <c r="F23" i="4"/>
  <c r="E23" i="4"/>
  <c r="D23" i="4"/>
  <c r="C23" i="4"/>
  <c r="I22" i="4"/>
  <c r="H22" i="4"/>
  <c r="G22" i="4"/>
  <c r="F22" i="4"/>
  <c r="E22" i="4"/>
  <c r="D22" i="4"/>
  <c r="K22" i="4" s="1"/>
  <c r="C22" i="4"/>
  <c r="I21" i="4"/>
  <c r="H21" i="4"/>
  <c r="G21" i="4"/>
  <c r="F21" i="4"/>
  <c r="E21" i="4"/>
  <c r="D21" i="4"/>
  <c r="C21" i="4"/>
  <c r="I20" i="4"/>
  <c r="H20" i="4"/>
  <c r="G20" i="4"/>
  <c r="F20" i="4"/>
  <c r="E20" i="4"/>
  <c r="D20" i="4"/>
  <c r="C20" i="4"/>
  <c r="I19" i="4"/>
  <c r="H19" i="4"/>
  <c r="G19" i="4"/>
  <c r="F19" i="4"/>
  <c r="E19" i="4"/>
  <c r="D19" i="4"/>
  <c r="C19" i="4"/>
  <c r="I18" i="4"/>
  <c r="H18" i="4"/>
  <c r="G18" i="4"/>
  <c r="F18" i="4"/>
  <c r="E18" i="4"/>
  <c r="D18" i="4"/>
  <c r="C18" i="4"/>
  <c r="K18" i="4" s="1"/>
  <c r="I17" i="4"/>
  <c r="H17" i="4"/>
  <c r="G17" i="4"/>
  <c r="F17" i="4"/>
  <c r="E17" i="4"/>
  <c r="D17" i="4"/>
  <c r="C17" i="4"/>
  <c r="I16" i="4"/>
  <c r="I25" i="4" s="1"/>
  <c r="H16" i="4"/>
  <c r="G16" i="4"/>
  <c r="F16" i="4"/>
  <c r="E16" i="4"/>
  <c r="D16" i="4"/>
  <c r="C16" i="4"/>
  <c r="K16" i="4" s="1"/>
  <c r="I15" i="4"/>
  <c r="H15" i="4"/>
  <c r="G15" i="4"/>
  <c r="F15" i="4"/>
  <c r="E15" i="4"/>
  <c r="D15" i="4"/>
  <c r="C15" i="4"/>
  <c r="I14" i="4"/>
  <c r="H14" i="4"/>
  <c r="G14" i="4"/>
  <c r="F14" i="4"/>
  <c r="E14" i="4"/>
  <c r="D14" i="4"/>
  <c r="C14" i="4"/>
  <c r="I13" i="4"/>
  <c r="H13" i="4"/>
  <c r="G13" i="4"/>
  <c r="F13" i="4"/>
  <c r="E13" i="4"/>
  <c r="D13" i="4"/>
  <c r="J13" i="4" s="1"/>
  <c r="C13" i="4"/>
  <c r="I12" i="4"/>
  <c r="H12" i="4"/>
  <c r="G12" i="4"/>
  <c r="F12" i="4"/>
  <c r="E12" i="4"/>
  <c r="D12" i="4"/>
  <c r="C12" i="4"/>
  <c r="I11" i="4"/>
  <c r="H11" i="4"/>
  <c r="G11" i="4"/>
  <c r="F11" i="4"/>
  <c r="E11" i="4"/>
  <c r="D11" i="4"/>
  <c r="C11" i="4"/>
  <c r="I10" i="4"/>
  <c r="H10" i="4"/>
  <c r="G10" i="4"/>
  <c r="F10" i="4"/>
  <c r="E10" i="4"/>
  <c r="D10" i="4"/>
  <c r="C10" i="4"/>
  <c r="I9" i="4"/>
  <c r="H9" i="4"/>
  <c r="G9" i="4"/>
  <c r="F9" i="4"/>
  <c r="E9" i="4"/>
  <c r="D9" i="4"/>
  <c r="J9" i="4" s="1"/>
  <c r="C9" i="4"/>
  <c r="I8" i="4"/>
  <c r="H8" i="4"/>
  <c r="G8" i="4"/>
  <c r="F8" i="4"/>
  <c r="E8" i="4"/>
  <c r="D8" i="4"/>
  <c r="C8" i="4"/>
  <c r="I6" i="4"/>
  <c r="H6" i="4"/>
  <c r="G6" i="4"/>
  <c r="F6" i="4"/>
  <c r="F7" i="4" s="1"/>
  <c r="E6" i="4"/>
  <c r="D6" i="4"/>
  <c r="C6" i="4"/>
  <c r="K31" i="4"/>
  <c r="K47" i="4"/>
  <c r="D129" i="4"/>
  <c r="K11" i="4"/>
  <c r="K33" i="4"/>
  <c r="K49" i="4"/>
  <c r="G7" i="4"/>
  <c r="G55" i="4"/>
  <c r="G57" i="4"/>
  <c r="K6" i="4"/>
  <c r="C55" i="4"/>
  <c r="K55" i="4" s="1"/>
  <c r="C76" i="4"/>
  <c r="K19" i="4"/>
  <c r="K35" i="4"/>
  <c r="K51" i="4"/>
  <c r="J35" i="4"/>
  <c r="J32" i="4"/>
  <c r="J17" i="4"/>
  <c r="J42" i="4"/>
  <c r="J30" i="4"/>
  <c r="J50" i="4"/>
  <c r="J51" i="4"/>
  <c r="J45" i="4"/>
  <c r="J29" i="4"/>
  <c r="J15" i="4"/>
  <c r="J28" i="4"/>
  <c r="J44" i="4"/>
  <c r="J23" i="4"/>
  <c r="J16" i="4"/>
  <c r="J18" i="4"/>
  <c r="J43" i="4"/>
  <c r="J24" i="4"/>
  <c r="J14" i="4"/>
  <c r="J21" i="4"/>
  <c r="J36" i="4"/>
  <c r="D76" i="4"/>
  <c r="J8" i="4"/>
  <c r="J20" i="4"/>
  <c r="J31" i="4"/>
  <c r="J12" i="4"/>
  <c r="J33" i="4"/>
  <c r="J38" i="4"/>
  <c r="J37" i="4"/>
  <c r="J6" i="4"/>
  <c r="J10" i="4"/>
  <c r="J34" i="4"/>
  <c r="J52" i="4"/>
  <c r="J19" i="4"/>
  <c r="J41" i="4"/>
  <c r="J49" i="4"/>
  <c r="J46" i="4"/>
  <c r="J47" i="4"/>
  <c r="J11" i="4"/>
  <c r="J39" i="4"/>
  <c r="D55" i="4"/>
  <c r="J53" i="4"/>
  <c r="K14" i="4"/>
  <c r="K23" i="4"/>
  <c r="K37" i="4"/>
  <c r="K53" i="4"/>
  <c r="K12" i="4"/>
  <c r="K39" i="4"/>
  <c r="K15" i="4"/>
  <c r="K43" i="4"/>
  <c r="F69" i="4"/>
  <c r="F75" i="4"/>
  <c r="K72" i="4"/>
  <c r="K92" i="4"/>
  <c r="K29" i="4"/>
  <c r="K45" i="4"/>
  <c r="K67" i="4"/>
  <c r="J105" i="4"/>
  <c r="J104" i="4"/>
  <c r="J99" i="4"/>
  <c r="J107" i="4"/>
  <c r="J102" i="4"/>
  <c r="J106" i="4"/>
  <c r="J98" i="4"/>
  <c r="J101" i="4"/>
  <c r="J103" i="4"/>
  <c r="J100" i="4"/>
  <c r="J108" i="4"/>
  <c r="K20" i="4"/>
  <c r="E69" i="4"/>
  <c r="E75" i="4"/>
  <c r="K73" i="4"/>
  <c r="E93" i="4"/>
  <c r="K100" i="4"/>
  <c r="K104" i="4"/>
  <c r="K108" i="4"/>
  <c r="K112" i="4"/>
  <c r="F93" i="4"/>
  <c r="H7" i="4"/>
  <c r="H55" i="4"/>
  <c r="H57" i="4"/>
  <c r="K10" i="4"/>
  <c r="G69" i="4"/>
  <c r="G75" i="4"/>
  <c r="K71" i="4"/>
  <c r="G93" i="4"/>
  <c r="K101" i="4"/>
  <c r="K105" i="4"/>
  <c r="K109" i="4"/>
  <c r="K113" i="4"/>
  <c r="K9" i="4"/>
  <c r="K17" i="4"/>
  <c r="K32" i="4"/>
  <c r="K52" i="4"/>
  <c r="H69" i="4"/>
  <c r="H75" i="4"/>
  <c r="K70" i="4"/>
  <c r="H93" i="4"/>
  <c r="J110" i="4"/>
  <c r="J114" i="4"/>
  <c r="J113" i="4"/>
  <c r="J111" i="4"/>
  <c r="J112" i="4"/>
  <c r="J109" i="4"/>
  <c r="I7" i="4"/>
  <c r="I55" i="4"/>
  <c r="I57" i="4"/>
  <c r="K28" i="4"/>
  <c r="K36" i="4"/>
  <c r="K8" i="4"/>
  <c r="K24" i="4"/>
  <c r="K68" i="4"/>
  <c r="I93" i="4"/>
  <c r="K98" i="4"/>
  <c r="K102" i="4"/>
  <c r="K106" i="4"/>
  <c r="K110" i="4"/>
  <c r="K114" i="4"/>
  <c r="K66" i="4"/>
  <c r="C69" i="4"/>
  <c r="C75" i="4" s="1"/>
  <c r="K91" i="4"/>
  <c r="C93" i="4"/>
  <c r="K99" i="4"/>
  <c r="K103" i="4"/>
  <c r="K107" i="4"/>
  <c r="K111" i="4"/>
  <c r="E55" i="4"/>
  <c r="E57" i="4" s="1"/>
  <c r="E7" i="4"/>
  <c r="K21" i="4"/>
  <c r="K30" i="4"/>
  <c r="K34" i="4"/>
  <c r="K38" i="4"/>
  <c r="K42" i="4"/>
  <c r="K46" i="4"/>
  <c r="K56" i="4"/>
  <c r="J71" i="4"/>
  <c r="J74" i="4"/>
  <c r="J70" i="4"/>
  <c r="D69" i="4"/>
  <c r="D75" i="4"/>
  <c r="J75" i="4" s="1"/>
  <c r="J67" i="4"/>
  <c r="J68" i="4"/>
  <c r="J73" i="4"/>
  <c r="J72" i="4"/>
  <c r="J66" i="4"/>
  <c r="K74" i="4"/>
  <c r="D93" i="4"/>
  <c r="K93" i="4" s="1"/>
  <c r="J93" i="4"/>
  <c r="J91" i="4"/>
  <c r="J92" i="4"/>
  <c r="J69" i="4"/>
  <c r="B94" i="4"/>
  <c r="B59" i="4"/>
  <c r="B1" i="4"/>
  <c r="J55" i="4"/>
  <c r="K75" i="4" l="1"/>
  <c r="K69" i="4"/>
  <c r="D77" i="4"/>
  <c r="J57" i="4"/>
  <c r="J56" i="4"/>
  <c r="J48" i="4"/>
  <c r="K44" i="4"/>
  <c r="D27" i="4"/>
  <c r="J27" i="4" s="1"/>
  <c r="K40" i="4"/>
  <c r="C7" i="4"/>
  <c r="C25" i="4" s="1"/>
  <c r="J22" i="4"/>
  <c r="G25" i="4"/>
  <c r="K13" i="4"/>
  <c r="E25" i="4"/>
  <c r="H25" i="4"/>
  <c r="F25" i="4"/>
  <c r="F55" i="4"/>
  <c r="F57" i="4" s="1"/>
  <c r="C57" i="4"/>
  <c r="K27" i="4" l="1"/>
  <c r="D26" i="4"/>
  <c r="K26" i="4" s="1"/>
  <c r="D7" i="4"/>
  <c r="J26" i="4"/>
  <c r="K57" i="4"/>
  <c r="C77" i="4"/>
  <c r="L17" i="4" l="1"/>
  <c r="J7" i="4"/>
  <c r="L15" i="4"/>
  <c r="L9" i="4"/>
  <c r="L20" i="4"/>
  <c r="L10" i="4"/>
  <c r="L21" i="4"/>
  <c r="L19" i="4"/>
  <c r="L14" i="4"/>
  <c r="L18" i="4"/>
  <c r="L7" i="4"/>
  <c r="L8" i="4"/>
  <c r="L24" i="4"/>
  <c r="L22" i="4"/>
  <c r="L23" i="4"/>
  <c r="L16" i="4"/>
  <c r="D25" i="4"/>
  <c r="L11" i="4"/>
  <c r="L12" i="4"/>
  <c r="L13" i="4"/>
  <c r="K7" i="4"/>
  <c r="L25" i="4" l="1"/>
  <c r="K25" i="4"/>
  <c r="J25" i="4"/>
</calcChain>
</file>

<file path=xl/sharedStrings.xml><?xml version="1.0" encoding="utf-8"?>
<sst xmlns="http://schemas.openxmlformats.org/spreadsheetml/2006/main" count="373" uniqueCount="124">
  <si>
    <t xml:space="preserve">Wyszczególnienie </t>
  </si>
  <si>
    <t xml:space="preserve">Wykonanie </t>
  </si>
  <si>
    <t xml:space="preserve">Struktura </t>
  </si>
  <si>
    <t>Struktura dochodów  własnych</t>
  </si>
  <si>
    <t>w %%</t>
  </si>
  <si>
    <t>DOCHODY OGÓŁEM</t>
  </si>
  <si>
    <t>w tym:   inwestycyjne</t>
  </si>
  <si>
    <t xml:space="preserve">na zadania własne </t>
  </si>
  <si>
    <t>otrzymane z funduszy celowych</t>
  </si>
  <si>
    <t>na zadania z zakresu adm. rządowej</t>
  </si>
  <si>
    <t xml:space="preserve">na zadania realizowane na podstawie porozumień  z org. adm. rządowej </t>
  </si>
  <si>
    <t>na zadania realizowane na podstawie porozumień między jst</t>
  </si>
  <si>
    <t>Zobowiązania wg stanu na koniec 
okresu sprawozdawczego</t>
  </si>
  <si>
    <t>w tym:   wydatki na inwestycje</t>
  </si>
  <si>
    <t xml:space="preserve">wydatki majątkowe      </t>
  </si>
  <si>
    <t xml:space="preserve">WYNIK  </t>
  </si>
  <si>
    <t>Wyszczególnienie</t>
  </si>
  <si>
    <t>Plan (po zmianach)</t>
  </si>
  <si>
    <t>Wskaźnik 
(3:2)</t>
  </si>
  <si>
    <t>podatek od środków transportowych</t>
  </si>
  <si>
    <t>dochody z majątku</t>
  </si>
  <si>
    <t xml:space="preserve">pozostałe dochody </t>
  </si>
  <si>
    <t>Struktura</t>
  </si>
  <si>
    <t>Wskaźnik</t>
  </si>
  <si>
    <t>podatek od czynności cywilnoprawnych</t>
  </si>
  <si>
    <t>wpływy z opłaty eksploatacyjnej</t>
  </si>
  <si>
    <t>wpływy z opłaty targowej</t>
  </si>
  <si>
    <t>w tym wymagalne:</t>
  </si>
  <si>
    <r>
      <t xml:space="preserve">Plan 
(po zmianach)
</t>
    </r>
    <r>
      <rPr>
        <b/>
        <sz val="10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</si>
  <si>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10"/>
        <color indexed="8"/>
        <rFont val="Arial"/>
        <family val="2"/>
        <charset val="238"/>
      </rPr>
      <t>R4</t>
    </r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</si>
  <si>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</si>
  <si>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</si>
  <si>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</si>
  <si>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</si>
  <si>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</si>
  <si>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>część rekompensująca</t>
  </si>
  <si>
    <t>pozostałe wydatki</t>
  </si>
  <si>
    <t>wydatki na obsługę długu</t>
  </si>
  <si>
    <t>dotacje</t>
  </si>
  <si>
    <r>
      <t xml:space="preserve">powstałe w latach ubiegłych
</t>
    </r>
    <r>
      <rPr>
        <b/>
        <sz val="10"/>
        <rFont val="Arial"/>
        <family val="2"/>
        <charset val="238"/>
      </rPr>
      <t>R12U</t>
    </r>
  </si>
  <si>
    <r>
      <t xml:space="preserve">powstałe w roku bieżącym
</t>
    </r>
    <r>
      <rPr>
        <b/>
        <sz val="10"/>
        <rFont val="Arial"/>
        <family val="2"/>
        <charset val="238"/>
      </rPr>
      <t>R12B</t>
    </r>
  </si>
  <si>
    <r>
      <t xml:space="preserve">Plan 
(po zmianach)
</t>
    </r>
    <r>
      <rPr>
        <b/>
        <sz val="10"/>
        <rFont val="Arial"/>
        <family val="2"/>
        <charset val="238"/>
      </rPr>
      <t>R1</t>
    </r>
  </si>
  <si>
    <r>
      <t xml:space="preserve">Zaangażowanie
</t>
    </r>
    <r>
      <rPr>
        <b/>
        <sz val="10"/>
        <rFont val="Arial"/>
        <family val="2"/>
        <charset val="238"/>
      </rPr>
      <t>R10</t>
    </r>
  </si>
  <si>
    <r>
      <t xml:space="preserve">Wydatki
 wykonane
</t>
    </r>
    <r>
      <rPr>
        <b/>
        <sz val="10"/>
        <rFont val="Arial"/>
        <family val="2"/>
        <charset val="238"/>
      </rPr>
      <t>R4</t>
    </r>
  </si>
  <si>
    <r>
      <t xml:space="preserve">ogółem
</t>
    </r>
    <r>
      <rPr>
        <b/>
        <sz val="10"/>
        <rFont val="Arial"/>
        <family val="2"/>
        <charset val="238"/>
      </rPr>
      <t>R11</t>
    </r>
  </si>
  <si>
    <t>#</t>
  </si>
  <si>
    <t>Razem dochody własne 
z tego:</t>
  </si>
  <si>
    <t>Dotacje celowe 
z tego:</t>
  </si>
  <si>
    <t>WYDATKI OGÓŁEM 
z tego:</t>
  </si>
  <si>
    <t>wydatki bieżące 
z tego:</t>
  </si>
  <si>
    <t>Przychody ogółem 
z tego:</t>
  </si>
  <si>
    <t>Rozchody ogółem 
z tego:</t>
  </si>
  <si>
    <t>kwartał</t>
  </si>
  <si>
    <t>rok</t>
  </si>
  <si>
    <t>stanNa</t>
  </si>
  <si>
    <t>wydatki z tytułu udzielania poręczeń i gwarancji</t>
  </si>
  <si>
    <t>świadczenia na rzecz osób fizycznych</t>
  </si>
  <si>
    <r>
      <t xml:space="preserve">Dotacje </t>
    </r>
    <r>
      <rPr>
        <b/>
        <sz val="10"/>
        <color indexed="8"/>
        <rFont val="Arial"/>
        <charset val="238"/>
      </rPr>
      <t>§§ 200 i 620</t>
    </r>
  </si>
  <si>
    <r>
      <t xml:space="preserve">w tym: inwestycyjne </t>
    </r>
    <r>
      <rPr>
        <sz val="8"/>
        <color indexed="8"/>
        <rFont val="Arial"/>
        <charset val="238"/>
      </rPr>
      <t>§</t>
    </r>
    <r>
      <rPr>
        <sz val="8"/>
        <color indexed="8"/>
        <rFont val="Arial"/>
        <family val="2"/>
        <charset val="238"/>
      </rPr>
      <t xml:space="preserve"> 620</t>
    </r>
  </si>
  <si>
    <t>WYDATKI OGÓŁEM UE
z tego:</t>
  </si>
  <si>
    <t>majątkowe</t>
  </si>
  <si>
    <t>bieżące</t>
  </si>
  <si>
    <t>wydatki majątkowe</t>
  </si>
  <si>
    <t>wydatki bieżące</t>
  </si>
  <si>
    <t>w złotych</t>
  </si>
  <si>
    <t>z tytułu pomocy finansowej udzielanej między jst na dofinansowanie własnych zadań</t>
  </si>
  <si>
    <t>sprzedaż papierów wartościowych wyemitowanych przez jednostkę samorządu terytorialnego</t>
  </si>
  <si>
    <t>kredyty i pożyczki</t>
  </si>
  <si>
    <t>prywatyzacja majątku jednostki samorządu terytorialnego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</si>
  <si>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</si>
  <si>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r>
      <t xml:space="preserve">Dotacje </t>
    </r>
    <r>
      <rPr>
        <b/>
        <sz val="10"/>
        <color indexed="8"/>
        <rFont val="Arial"/>
        <charset val="238"/>
      </rPr>
      <t>§§ 205 i 625</t>
    </r>
  </si>
  <si>
    <r>
      <t xml:space="preserve">w tym: inwestycyjne </t>
    </r>
    <r>
      <rPr>
        <sz val="8"/>
        <color indexed="8"/>
        <rFont val="Arial"/>
        <charset val="238"/>
      </rPr>
      <t>§</t>
    </r>
    <r>
      <rPr>
        <sz val="8"/>
        <color indexed="8"/>
        <rFont val="Arial"/>
        <family val="2"/>
        <charset val="238"/>
      </rPr>
      <t xml:space="preserve"> 625</t>
    </r>
  </si>
  <si>
    <r>
      <t xml:space="preserve">Wydatki, które nie wygasły 
z upływem roku budżetowego) 
(art.263 ust. 2 ustawy 
o finansach publicznych) 
</t>
    </r>
    <r>
      <rPr>
        <b/>
        <sz val="10"/>
        <rFont val="Arial"/>
        <family val="2"/>
        <charset val="238"/>
      </rPr>
      <t>R9</t>
    </r>
  </si>
  <si>
    <t>ze sprzedaży papierów wartościowych</t>
  </si>
  <si>
    <t>spłata  udzielonych pożyczek</t>
  </si>
  <si>
    <t>prywatyzacja majątku JST</t>
  </si>
  <si>
    <t>wolne środki , o których mowa w art. 217 ust.2 pkt 6 ustawy o finansach publicznych</t>
  </si>
  <si>
    <t>spłaty kredytów i pożyczek, wykup papierów wartościowych w tym:</t>
  </si>
  <si>
    <t>wykup papierów wartościowych</t>
  </si>
  <si>
    <t>otrzymane ze środków z Funduszu Przeciwdziałania COVID-19 (m.in.. z Rządowego Funduszu Inwestycji Lokalnych)</t>
  </si>
  <si>
    <t>w tym: inwestycyjne</t>
  </si>
  <si>
    <t>spłaty udzielonych pożyczek w latach ubiegłych</t>
  </si>
  <si>
    <t>na finansowanie lub dofinansowanie zadań inwestycyjnych obiektów zabytkowych oraz prac remontowych i konserwatorskich przy zabytkach</t>
  </si>
  <si>
    <t>nadwyżka z lat ubiegłych, pomniejszona o niewykorzystane środki pieniężne, o których mowa w art. 217 ust. 2 pkt 8 ustawy o finansach publicznych</t>
  </si>
  <si>
    <t>niewykorzystane środki pieniężne, o których mowa w art. 217 ust. 2 pkt 8 ustawy o finansach publicznych</t>
  </si>
  <si>
    <t>udzielone pożyczki</t>
  </si>
  <si>
    <t>nadwyżka budżetu jednostki samorządu terytorialnego z lat ubiegłych, pomniejszona o środki określone w art. 217 ust. 2 pkt 8 ustawy o finansach publicznych</t>
  </si>
  <si>
    <t>wynagrodzenia i składki od nich naliczane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</si>
  <si>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</si>
  <si>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Dotacje ogółem 
z tego:</t>
  </si>
  <si>
    <t>otrzymane z Funduszu Pomocy lub z innych środków (*)</t>
  </si>
  <si>
    <t>(*) na finansowanie lub dofinansowanie realizacji zadań w zakresie pomocy obywatelom Ukrainy</t>
  </si>
  <si>
    <t>WYDATKI Z UDZIAŁEM ŚRODKÓW, O KTÓRYCH MOWA W ART. 5 UST. 1 pkt 2</t>
  </si>
  <si>
    <t>kredyty, pożyczki, emisja papierów wartościowych 
w tym:</t>
  </si>
  <si>
    <t>stan niespłaconych na koniec okresu sprawozdawczego zobowiązań przeznaczonych na cel, o którym mowa w art. 89 ust. 1 pkt 1 ustawy o finansach publicznych</t>
  </si>
  <si>
    <t>inne źródła, w tym:</t>
  </si>
  <si>
    <t>środki z lokat dokonanych w latach ubiegłych</t>
  </si>
  <si>
    <t>inne cele, w tym:</t>
  </si>
  <si>
    <t>lokaty na okres wykraczający poza rok budżetowy</t>
  </si>
  <si>
    <t>FINANSOWANIE DEFICYTU (E1+E2+E3+E4+E5+E6+E7+E8)  
z tego:</t>
  </si>
  <si>
    <t>podatek dochodowy od osób fizycznych</t>
  </si>
  <si>
    <t>podatek dochodowy od osób prawnych</t>
  </si>
  <si>
    <t>Subwencja ogólna, w tym:</t>
  </si>
  <si>
    <t>środki na uzupełnienie dochodów jednostek samorządu terytorialnego</t>
  </si>
  <si>
    <t>dodatni (nadwyżka)</t>
  </si>
  <si>
    <t>ujemny (deficyt)</t>
  </si>
  <si>
    <t>liczba JST</t>
  </si>
  <si>
    <t>kwota</t>
  </si>
  <si>
    <t>podatek od nieruchomości</t>
  </si>
  <si>
    <t>podatek rolny</t>
  </si>
  <si>
    <t>podatek leśny       </t>
  </si>
  <si>
    <t>podatek od dział. gosp. osób fizycznych, opłacany w formie karty podatkowej</t>
  </si>
  <si>
    <t>wpływy z opłaty skarbowej       </t>
  </si>
  <si>
    <t>podatek od spadków i darowizn       </t>
  </si>
  <si>
    <t>opłata miejscowa</t>
  </si>
  <si>
    <t>opłata uzdrowiskowa</t>
  </si>
  <si>
    <t>opłata od posiadania psów</t>
  </si>
  <si>
    <t>opłata reklamowa</t>
  </si>
  <si>
    <t>Wynik budżetu</t>
  </si>
  <si>
    <t>Planowany</t>
  </si>
  <si>
    <t>Wykonany</t>
  </si>
  <si>
    <t>Wynik operacyjny (Db-Wb)</t>
  </si>
  <si>
    <t>Dochody bieżące 
minus  wydatki bieżące (Db-Wb)</t>
  </si>
  <si>
    <t>zrównoważony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</si>
</sst>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#,##0.0"/>
    <numFmt numFmtId="166" formatCode="dd/mm/yy\ h:mm;@"/>
    <numFmt numFmtId="167" formatCode="#,##0.00_ ;[Red]\-#,##0.00\ "/>
  </numFmts>
  <fonts count="38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.5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6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8"/>
      <color indexed="62"/>
      <name val="Cambria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0"/>
      <color indexed="8"/>
      <name val="Arial"/>
      <charset val="238"/>
    </font>
    <font>
      <sz val="8"/>
      <color indexed="8"/>
      <name val="Arial"/>
      <charset val="238"/>
    </font>
    <font>
      <sz val="8"/>
      <name val="Arial CE"/>
      <charset val="238"/>
    </font>
    <font>
      <b/>
      <sz val="8"/>
      <name val="Arial CE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8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2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3" borderId="0" applyNumberFormat="0" applyBorder="0" applyAlignment="0" applyProtection="0"/>
    <xf numFmtId="0" fontId="16" fillId="8" borderId="0" applyNumberFormat="0" applyBorder="0" applyAlignment="0" applyProtection="0"/>
    <xf numFmtId="0" fontId="16" fillId="7" borderId="0" applyNumberFormat="0" applyBorder="0" applyAlignment="0" applyProtection="0"/>
    <xf numFmtId="0" fontId="16" fillId="9" borderId="0" applyNumberFormat="0" applyBorder="0" applyAlignment="0" applyProtection="0"/>
    <xf numFmtId="0" fontId="16" fillId="6" borderId="0" applyNumberFormat="0" applyBorder="0" applyAlignment="0" applyProtection="0"/>
    <xf numFmtId="0" fontId="17" fillId="10" borderId="0" applyNumberFormat="0" applyBorder="0" applyAlignment="0" applyProtection="0"/>
    <xf numFmtId="0" fontId="17" fillId="3" borderId="0" applyNumberFormat="0" applyBorder="0" applyAlignment="0" applyProtection="0"/>
    <xf numFmtId="0" fontId="17" fillId="8" borderId="0" applyNumberFormat="0" applyBorder="0" applyAlignment="0" applyProtection="0"/>
    <xf numFmtId="0" fontId="17" fillId="7" borderId="0" applyNumberFormat="0" applyBorder="0" applyAlignment="0" applyProtection="0"/>
    <xf numFmtId="0" fontId="17" fillId="10" borderId="0" applyNumberFormat="0" applyBorder="0" applyAlignment="0" applyProtection="0"/>
    <xf numFmtId="0" fontId="17" fillId="6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8" fillId="15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1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1" applyNumberFormat="0" applyAlignment="0" applyProtection="0"/>
    <xf numFmtId="0" fontId="27" fillId="0" borderId="7" applyNumberFormat="0" applyFill="0" applyAlignment="0" applyProtection="0"/>
    <xf numFmtId="0" fontId="28" fillId="8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</xf>
    <xf numFmtId="0" fontId="36" fillId="0" borderId="0"/>
    <xf numFmtId="0" fontId="1" fillId="4" borderId="8" applyNumberFormat="0" applyFont="0" applyAlignment="0" applyProtection="0"/>
    <xf numFmtId="0" fontId="15" fillId="4" borderId="8" applyNumberFormat="0" applyFont="0" applyAlignment="0" applyProtection="0"/>
    <xf numFmtId="0" fontId="29" fillId="16" borderId="3" applyNumberFormat="0" applyAlignment="0" applyProtection="0"/>
    <xf numFmtId="0" fontId="14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</cellStyleXfs>
  <cellXfs count="134">
    <xf numFmtId="0" fontId="0" fillId="0" borderId="0" xfId="0"/>
    <xf numFmtId="0" fontId="2" fillId="0" borderId="0" xfId="0" applyFont="1"/>
    <xf numFmtId="165" fontId="2" fillId="0" borderId="0" xfId="0" applyNumberFormat="1" applyFont="1"/>
    <xf numFmtId="0" fontId="6" fillId="0" borderId="0" xfId="0" applyFont="1" applyFill="1" applyAlignment="1">
      <alignment horizontal="left" vertical="center"/>
    </xf>
    <xf numFmtId="165" fontId="2" fillId="0" borderId="0" xfId="0" applyNumberFormat="1" applyFont="1" applyFill="1"/>
    <xf numFmtId="0" fontId="8" fillId="0" borderId="0" xfId="0" applyFont="1" applyFill="1" applyAlignment="1">
      <alignment vertical="center"/>
    </xf>
    <xf numFmtId="0" fontId="2" fillId="0" borderId="0" xfId="0" applyFont="1" applyFill="1"/>
    <xf numFmtId="0" fontId="5" fillId="0" borderId="0" xfId="0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right" vertical="center"/>
    </xf>
    <xf numFmtId="165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4" fillId="19" borderId="10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7" fillId="20" borderId="1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 indent="1"/>
    </xf>
    <xf numFmtId="0" fontId="6" fillId="0" borderId="0" xfId="0" applyFont="1" applyFill="1" applyBorder="1" applyAlignment="1">
      <alignment vertical="center"/>
    </xf>
    <xf numFmtId="4" fontId="4" fillId="0" borderId="10" xfId="0" applyNumberFormat="1" applyFont="1" applyBorder="1" applyAlignment="1">
      <alignment horizontal="right" vertical="center"/>
    </xf>
    <xf numFmtId="4" fontId="4" fillId="0" borderId="10" xfId="0" applyNumberFormat="1" applyFont="1" applyFill="1" applyBorder="1" applyAlignment="1">
      <alignment horizontal="right" vertical="center"/>
    </xf>
    <xf numFmtId="4" fontId="13" fillId="20" borderId="10" xfId="0" applyNumberFormat="1" applyFont="1" applyFill="1" applyBorder="1" applyAlignment="1">
      <alignment horizontal="right" vertical="center"/>
    </xf>
    <xf numFmtId="4" fontId="11" fillId="20" borderId="10" xfId="0" applyNumberFormat="1" applyFont="1" applyFill="1" applyBorder="1" applyAlignment="1">
      <alignment horizontal="right" vertical="center"/>
    </xf>
    <xf numFmtId="4" fontId="13" fillId="20" borderId="10" xfId="0" applyNumberFormat="1" applyFont="1" applyFill="1" applyBorder="1" applyAlignment="1">
      <alignment horizontal="right" vertical="center" wrapText="1"/>
    </xf>
    <xf numFmtId="4" fontId="6" fillId="20" borderId="10" xfId="0" applyNumberFormat="1" applyFont="1" applyFill="1" applyBorder="1" applyAlignment="1">
      <alignment horizontal="right" vertical="center"/>
    </xf>
    <xf numFmtId="4" fontId="6" fillId="0" borderId="0" xfId="0" applyNumberFormat="1" applyFont="1" applyBorder="1" applyAlignment="1">
      <alignment horizontal="right" vertical="center"/>
    </xf>
    <xf numFmtId="165" fontId="6" fillId="0" borderId="0" xfId="0" applyNumberFormat="1" applyFont="1" applyAlignment="1">
      <alignment horizontal="right" vertical="center"/>
    </xf>
    <xf numFmtId="0" fontId="4" fillId="0" borderId="10" xfId="0" applyFont="1" applyBorder="1" applyAlignment="1">
      <alignment horizontal="left" vertical="center" wrapText="1" indent="2"/>
    </xf>
    <xf numFmtId="0" fontId="6" fillId="0" borderId="10" xfId="0" applyFont="1" applyFill="1" applyBorder="1" applyAlignment="1">
      <alignment horizontal="left" vertical="center" wrapText="1" indent="1"/>
    </xf>
    <xf numFmtId="0" fontId="2" fillId="0" borderId="10" xfId="0" applyFont="1" applyBorder="1"/>
    <xf numFmtId="165" fontId="13" fillId="20" borderId="10" xfId="0" applyNumberFormat="1" applyFont="1" applyFill="1" applyBorder="1" applyAlignment="1">
      <alignment horizontal="right" vertical="center"/>
    </xf>
    <xf numFmtId="165" fontId="4" fillId="0" borderId="10" xfId="0" applyNumberFormat="1" applyFont="1" applyFill="1" applyBorder="1" applyAlignment="1">
      <alignment horizontal="right" vertical="center"/>
    </xf>
    <xf numFmtId="165" fontId="6" fillId="0" borderId="10" xfId="0" applyNumberFormat="1" applyFont="1" applyFill="1" applyBorder="1" applyAlignment="1">
      <alignment horizontal="right" vertical="center"/>
    </xf>
    <xf numFmtId="165" fontId="11" fillId="20" borderId="10" xfId="0" applyNumberFormat="1" applyFont="1" applyFill="1" applyBorder="1" applyAlignment="1">
      <alignment horizontal="right" vertical="center"/>
    </xf>
    <xf numFmtId="0" fontId="10" fillId="20" borderId="10" xfId="0" applyFont="1" applyFill="1" applyBorder="1" applyAlignment="1">
      <alignment horizontal="left" vertical="center" wrapText="1"/>
    </xf>
    <xf numFmtId="0" fontId="6" fillId="19" borderId="10" xfId="0" applyNumberFormat="1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/>
    </xf>
    <xf numFmtId="0" fontId="10" fillId="19" borderId="10" xfId="0" applyFont="1" applyFill="1" applyBorder="1" applyAlignment="1">
      <alignment horizontal="center" vertical="center" wrapText="1"/>
    </xf>
    <xf numFmtId="165" fontId="11" fillId="20" borderId="10" xfId="29" applyNumberFormat="1" applyFont="1" applyFill="1" applyBorder="1" applyAlignment="1">
      <alignment horizontal="right" vertical="center"/>
    </xf>
    <xf numFmtId="4" fontId="11" fillId="20" borderId="13" xfId="0" applyNumberFormat="1" applyFont="1" applyFill="1" applyBorder="1" applyAlignment="1">
      <alignment horizontal="right" vertical="center"/>
    </xf>
    <xf numFmtId="4" fontId="6" fillId="0" borderId="13" xfId="0" applyNumberFormat="1" applyFont="1" applyBorder="1" applyAlignment="1">
      <alignment horizontal="right" vertical="center"/>
    </xf>
    <xf numFmtId="4" fontId="6" fillId="20" borderId="13" xfId="0" applyNumberFormat="1" applyFont="1" applyFill="1" applyBorder="1" applyAlignment="1">
      <alignment horizontal="right" vertical="center"/>
    </xf>
    <xf numFmtId="4" fontId="6" fillId="22" borderId="13" xfId="0" applyNumberFormat="1" applyFont="1" applyFill="1" applyBorder="1" applyAlignment="1">
      <alignment horizontal="right" vertical="center"/>
    </xf>
    <xf numFmtId="0" fontId="37" fillId="23" borderId="10" xfId="41" applyFont="1" applyFill="1" applyBorder="1" applyAlignment="1">
      <alignment horizontal="left" vertical="center" wrapText="1"/>
    </xf>
    <xf numFmtId="165" fontId="11" fillId="22" borderId="10" xfId="29" applyNumberFormat="1" applyFont="1" applyFill="1" applyBorder="1" applyAlignment="1">
      <alignment horizontal="right" vertical="center"/>
    </xf>
    <xf numFmtId="165" fontId="11" fillId="22" borderId="10" xfId="0" applyNumberFormat="1" applyFont="1" applyFill="1" applyBorder="1" applyAlignment="1">
      <alignment horizontal="right" vertical="center"/>
    </xf>
    <xf numFmtId="165" fontId="11" fillId="23" borderId="10" xfId="0" applyNumberFormat="1" applyFont="1" applyFill="1" applyBorder="1" applyAlignment="1">
      <alignment horizontal="right" vertical="center"/>
    </xf>
    <xf numFmtId="4" fontId="11" fillId="20" borderId="10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3" fontId="10" fillId="0" borderId="0" xfId="0" applyNumberFormat="1" applyFont="1" applyBorder="1" applyAlignment="1">
      <alignment horizontal="right" vertical="center"/>
    </xf>
    <xf numFmtId="0" fontId="10" fillId="0" borderId="10" xfId="0" applyFont="1" applyFill="1" applyBorder="1" applyAlignment="1">
      <alignment horizontal="right" vertical="center" wrapText="1"/>
    </xf>
    <xf numFmtId="4" fontId="6" fillId="0" borderId="10" xfId="0" applyNumberFormat="1" applyFont="1" applyFill="1" applyBorder="1" applyAlignment="1">
      <alignment horizontal="right" vertical="center"/>
    </xf>
    <xf numFmtId="0" fontId="7" fillId="23" borderId="10" xfId="0" applyFont="1" applyFill="1" applyBorder="1" applyAlignment="1">
      <alignment horizontal="left" vertical="center" wrapText="1"/>
    </xf>
    <xf numFmtId="4" fontId="13" fillId="23" borderId="10" xfId="0" applyNumberFormat="1" applyFont="1" applyFill="1" applyBorder="1" applyAlignment="1">
      <alignment horizontal="right" vertical="center"/>
    </xf>
    <xf numFmtId="165" fontId="13" fillId="23" borderId="10" xfId="0" applyNumberFormat="1" applyFont="1" applyFill="1" applyBorder="1" applyAlignment="1">
      <alignment horizontal="right" vertical="center"/>
    </xf>
    <xf numFmtId="4" fontId="4" fillId="23" borderId="10" xfId="0" applyNumberFormat="1" applyFont="1" applyFill="1" applyBorder="1" applyAlignment="1">
      <alignment horizontal="right" vertical="center"/>
    </xf>
    <xf numFmtId="165" fontId="4" fillId="0" borderId="0" xfId="0" applyNumberFormat="1" applyFont="1" applyFill="1" applyBorder="1" applyAlignment="1">
      <alignment horizontal="right" vertical="center"/>
    </xf>
    <xf numFmtId="0" fontId="10" fillId="23" borderId="10" xfId="0" applyFont="1" applyFill="1" applyBorder="1" applyAlignment="1">
      <alignment horizontal="left" vertical="center" wrapText="1"/>
    </xf>
    <xf numFmtId="4" fontId="11" fillId="23" borderId="10" xfId="0" applyNumberFormat="1" applyFont="1" applyFill="1" applyBorder="1" applyAlignment="1">
      <alignment horizontal="right" vertical="center"/>
    </xf>
    <xf numFmtId="165" fontId="6" fillId="23" borderId="10" xfId="0" applyNumberFormat="1" applyFont="1" applyFill="1" applyBorder="1" applyAlignment="1">
      <alignment horizontal="right" vertical="center"/>
    </xf>
    <xf numFmtId="4" fontId="6" fillId="0" borderId="10" xfId="0" applyNumberFormat="1" applyFont="1" applyFill="1" applyBorder="1" applyAlignment="1">
      <alignment horizontal="right" vertical="center" wrapText="1"/>
    </xf>
    <xf numFmtId="165" fontId="11" fillId="0" borderId="10" xfId="0" applyNumberFormat="1" applyFont="1" applyFill="1" applyBorder="1" applyAlignment="1">
      <alignment horizontal="right" vertical="center"/>
    </xf>
    <xf numFmtId="4" fontId="6" fillId="0" borderId="13" xfId="0" applyNumberFormat="1" applyFont="1" applyFill="1" applyBorder="1" applyAlignment="1">
      <alignment horizontal="right" vertical="center"/>
    </xf>
    <xf numFmtId="165" fontId="11" fillId="0" borderId="10" xfId="29" applyNumberFormat="1" applyFont="1" applyFill="1" applyBorder="1" applyAlignment="1">
      <alignment horizontal="right" vertical="center"/>
    </xf>
    <xf numFmtId="4" fontId="11" fillId="23" borderId="10" xfId="0" applyNumberFormat="1" applyFont="1" applyFill="1" applyBorder="1" applyAlignment="1">
      <alignment vertical="center"/>
    </xf>
    <xf numFmtId="4" fontId="13" fillId="20" borderId="10" xfId="0" applyNumberFormat="1" applyFont="1" applyFill="1" applyBorder="1" applyAlignment="1">
      <alignment vertical="center" wrapText="1"/>
    </xf>
    <xf numFmtId="4" fontId="4" fillId="0" borderId="10" xfId="0" applyNumberFormat="1" applyFont="1" applyBorder="1" applyAlignment="1">
      <alignment vertical="center"/>
    </xf>
    <xf numFmtId="0" fontId="4" fillId="19" borderId="10" xfId="0" applyFont="1" applyFill="1" applyBorder="1" applyAlignment="1">
      <alignment vertical="center"/>
    </xf>
    <xf numFmtId="0" fontId="6" fillId="19" borderId="13" xfId="0" applyFont="1" applyFill="1" applyBorder="1" applyAlignment="1">
      <alignment horizontal="center" vertical="center"/>
    </xf>
    <xf numFmtId="4" fontId="6" fillId="0" borderId="10" xfId="0" applyNumberFormat="1" applyFont="1" applyFill="1" applyBorder="1" applyAlignment="1">
      <alignment vertical="center" wrapText="1"/>
    </xf>
    <xf numFmtId="4" fontId="6" fillId="22" borderId="10" xfId="0" applyNumberFormat="1" applyFont="1" applyFill="1" applyBorder="1" applyAlignment="1">
      <alignment horizontal="right" vertical="center"/>
    </xf>
    <xf numFmtId="0" fontId="7" fillId="20" borderId="10" xfId="0" applyFont="1" applyFill="1" applyBorder="1" applyAlignment="1">
      <alignment horizontal="left" vertical="center" wrapText="1" indent="1"/>
    </xf>
    <xf numFmtId="0" fontId="7" fillId="23" borderId="10" xfId="0" applyFont="1" applyFill="1" applyBorder="1" applyAlignment="1">
      <alignment horizontal="left" vertical="center" wrapText="1" indent="1"/>
    </xf>
    <xf numFmtId="0" fontId="6" fillId="0" borderId="10" xfId="0" applyFont="1" applyBorder="1" applyAlignment="1">
      <alignment horizontal="left" vertical="center" wrapText="1" indent="1"/>
    </xf>
    <xf numFmtId="0" fontId="6" fillId="0" borderId="10" xfId="0" applyFont="1" applyFill="1" applyBorder="1" applyAlignment="1">
      <alignment horizontal="left" vertical="center" wrapText="1" indent="2"/>
    </xf>
    <xf numFmtId="0" fontId="6" fillId="21" borderId="10" xfId="0" applyFont="1" applyFill="1" applyBorder="1" applyAlignment="1">
      <alignment horizontal="left" vertical="center" wrapText="1" indent="1"/>
    </xf>
    <xf numFmtId="0" fontId="4" fillId="0" borderId="10" xfId="0" applyFont="1" applyFill="1" applyBorder="1" applyAlignment="1">
      <alignment horizontal="left" vertical="center" wrapText="1" indent="3"/>
    </xf>
    <xf numFmtId="0" fontId="7" fillId="23" borderId="10" xfId="0" applyFont="1" applyFill="1" applyBorder="1" applyAlignment="1">
      <alignment horizontal="left" vertical="center" wrapText="1" indent="2"/>
    </xf>
    <xf numFmtId="0" fontId="4" fillId="0" borderId="10" xfId="0" applyFont="1" applyFill="1" applyBorder="1" applyAlignment="1">
      <alignment horizontal="left" vertical="center" wrapText="1" indent="4"/>
    </xf>
    <xf numFmtId="0" fontId="4" fillId="22" borderId="10" xfId="0" applyFont="1" applyFill="1" applyBorder="1" applyAlignment="1">
      <alignment horizontal="left" vertical="center" wrapText="1" indent="3"/>
    </xf>
    <xf numFmtId="0" fontId="4" fillId="0" borderId="10" xfId="0" applyFont="1" applyBorder="1" applyAlignment="1">
      <alignment horizontal="left" vertical="center" wrapText="1" indent="4"/>
    </xf>
    <xf numFmtId="0" fontId="37" fillId="0" borderId="10" xfId="41" applyFont="1" applyBorder="1" applyAlignment="1">
      <alignment horizontal="left" vertical="center" wrapText="1" indent="1"/>
    </xf>
    <xf numFmtId="0" fontId="12" fillId="0" borderId="0" xfId="0" applyFont="1" applyAlignment="1">
      <alignment vertical="center"/>
    </xf>
    <xf numFmtId="0" fontId="4" fillId="0" borderId="10" xfId="0" applyFont="1" applyBorder="1" applyAlignment="1">
      <alignment horizontal="left" vertical="center" wrapText="1" indent="3"/>
    </xf>
    <xf numFmtId="0" fontId="2" fillId="0" borderId="15" xfId="0" applyFont="1" applyBorder="1"/>
    <xf numFmtId="0" fontId="10" fillId="0" borderId="0" xfId="41" applyFont="1" applyFill="1" applyBorder="1" applyAlignment="1">
      <alignment horizontal="left" vertical="center"/>
    </xf>
    <xf numFmtId="0" fontId="10" fillId="23" borderId="1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6" fillId="21" borderId="10" xfId="0" applyFont="1" applyFill="1" applyBorder="1" applyAlignment="1">
      <alignment horizontal="left" vertical="center" wrapText="1" indent="2"/>
    </xf>
    <xf numFmtId="0" fontId="10" fillId="0" borderId="0" xfId="0" applyFont="1" applyFill="1" applyBorder="1" applyAlignment="1">
      <alignment horizontal="center" vertical="center" wrapText="1"/>
    </xf>
    <xf numFmtId="4" fontId="11" fillId="0" borderId="0" xfId="0" applyNumberFormat="1" applyFont="1" applyFill="1" applyBorder="1" applyAlignment="1">
      <alignment vertical="center" wrapText="1"/>
    </xf>
    <xf numFmtId="0" fontId="7" fillId="20" borderId="10" xfId="0" applyFont="1" applyFill="1" applyBorder="1" applyAlignment="1">
      <alignment horizontal="center" vertical="center" wrapText="1"/>
    </xf>
    <xf numFmtId="167" fontId="34" fillId="0" borderId="10" xfId="0" applyNumberFormat="1" applyFont="1" applyBorder="1" applyAlignment="1">
      <alignment vertical="center" wrapText="1"/>
    </xf>
    <xf numFmtId="0" fontId="2" fillId="0" borderId="10" xfId="0" applyNumberFormat="1" applyFont="1" applyBorder="1"/>
    <xf numFmtId="0" fontId="34" fillId="0" borderId="10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right" vertical="center" wrapText="1"/>
    </xf>
    <xf numFmtId="0" fontId="6" fillId="0" borderId="0" xfId="0" applyFont="1"/>
    <xf numFmtId="0" fontId="11" fillId="0" borderId="10" xfId="0" applyFont="1" applyBorder="1" applyAlignment="1">
      <alignment horizontal="center" vertical="center"/>
    </xf>
    <xf numFmtId="3" fontId="34" fillId="0" borderId="10" xfId="0" applyNumberFormat="1" applyFont="1" applyBorder="1" applyAlignment="1">
      <alignment vertical="center" wrapText="1"/>
    </xf>
    <xf numFmtId="0" fontId="7" fillId="23" borderId="10" xfId="0" applyFont="1" applyFill="1" applyBorder="1" applyAlignment="1">
      <alignment horizontal="left" vertical="center" wrapText="1"/>
    </xf>
    <xf numFmtId="0" fontId="35" fillId="0" borderId="10" xfId="0" applyFont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6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/>
    </xf>
    <xf numFmtId="0" fontId="6" fillId="19" borderId="17" xfId="0" applyFont="1" applyFill="1" applyBorder="1" applyAlignment="1">
      <alignment horizontal="center" vertical="center"/>
    </xf>
    <xf numFmtId="0" fontId="6" fillId="19" borderId="18" xfId="0" applyFont="1" applyFill="1" applyBorder="1" applyAlignment="1">
      <alignment horizontal="center" vertical="center"/>
    </xf>
    <xf numFmtId="0" fontId="6" fillId="19" borderId="19" xfId="0" applyFont="1" applyFill="1" applyBorder="1" applyAlignment="1">
      <alignment horizontal="center" vertical="center"/>
    </xf>
    <xf numFmtId="0" fontId="6" fillId="19" borderId="11" xfId="0" applyFont="1" applyFill="1" applyBorder="1" applyAlignment="1">
      <alignment horizontal="center" vertical="center"/>
    </xf>
    <xf numFmtId="0" fontId="6" fillId="19" borderId="0" xfId="0" applyFont="1" applyFill="1" applyBorder="1" applyAlignment="1">
      <alignment horizontal="center" vertical="center"/>
    </xf>
    <xf numFmtId="0" fontId="6" fillId="19" borderId="20" xfId="0" applyFont="1" applyFill="1" applyBorder="1" applyAlignment="1">
      <alignment horizontal="center" vertical="center"/>
    </xf>
    <xf numFmtId="0" fontId="6" fillId="19" borderId="21" xfId="0" applyFont="1" applyFill="1" applyBorder="1" applyAlignment="1">
      <alignment horizontal="center" vertical="center"/>
    </xf>
    <xf numFmtId="0" fontId="6" fillId="19" borderId="22" xfId="0" applyFont="1" applyFill="1" applyBorder="1" applyAlignment="1">
      <alignment horizontal="center" vertical="center"/>
    </xf>
    <xf numFmtId="0" fontId="6" fillId="19" borderId="23" xfId="0" applyFont="1" applyFill="1" applyBorder="1" applyAlignment="1">
      <alignment horizontal="center" vertical="center"/>
    </xf>
    <xf numFmtId="0" fontId="7" fillId="19" borderId="10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/>
    </xf>
    <xf numFmtId="0" fontId="4" fillId="19" borderId="13" xfId="0" applyFont="1" applyFill="1" applyBorder="1" applyAlignment="1">
      <alignment horizontal="center" vertical="center"/>
    </xf>
    <xf numFmtId="0" fontId="4" fillId="19" borderId="14" xfId="0" applyFont="1" applyFill="1" applyBorder="1" applyAlignment="1">
      <alignment horizontal="center" vertical="center"/>
    </xf>
    <xf numFmtId="0" fontId="4" fillId="19" borderId="16" xfId="0" applyFont="1" applyFill="1" applyBorder="1" applyAlignment="1">
      <alignment horizontal="center" vertical="center"/>
    </xf>
    <xf numFmtId="0" fontId="6" fillId="19" borderId="13" xfId="0" applyFont="1" applyFill="1" applyBorder="1" applyAlignment="1">
      <alignment horizontal="center" vertical="center" wrapText="1"/>
    </xf>
    <xf numFmtId="0" fontId="6" fillId="19" borderId="16" xfId="0" applyFont="1" applyFill="1" applyBorder="1" applyAlignment="1">
      <alignment horizontal="center" vertical="center" wrapText="1"/>
    </xf>
    <xf numFmtId="166" fontId="2" fillId="0" borderId="13" xfId="0" applyNumberFormat="1" applyFont="1" applyBorder="1" applyAlignment="1">
      <alignment horizontal="center"/>
    </xf>
    <xf numFmtId="166" fontId="2" fillId="0" borderId="16" xfId="0" applyNumberFormat="1" applyFont="1" applyBorder="1" applyAlignment="1">
      <alignment horizontal="center"/>
    </xf>
    <xf numFmtId="0" fontId="6" fillId="19" borderId="13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4" fillId="19" borderId="15" xfId="0" applyFont="1" applyFill="1" applyBorder="1" applyAlignment="1">
      <alignment horizontal="center" vertical="center" wrapText="1"/>
    </xf>
    <xf numFmtId="0" fontId="4" fillId="19" borderId="24" xfId="0" applyFont="1" applyFill="1" applyBorder="1" applyAlignment="1">
      <alignment horizontal="center" vertical="center" wrapText="1"/>
    </xf>
    <xf numFmtId="0" fontId="4" fillId="19" borderId="12" xfId="0" applyFont="1" applyFill="1" applyBorder="1" applyAlignment="1">
      <alignment horizontal="center" vertical="center" wrapText="1"/>
    </xf>
    <xf numFmtId="0" fontId="6" fillId="19" borderId="15" xfId="0" applyFont="1" applyFill="1" applyBorder="1" applyAlignment="1">
      <alignment horizontal="center" vertical="center" wrapText="1"/>
    </xf>
    <xf numFmtId="0" fontId="6" fillId="19" borderId="24" xfId="0" applyFont="1" applyFill="1" applyBorder="1" applyAlignment="1">
      <alignment horizontal="center" vertical="center" wrapText="1"/>
    </xf>
    <xf numFmtId="0" fontId="6" fillId="19" borderId="12" xfId="0" applyFont="1" applyFill="1" applyBorder="1" applyAlignment="1">
      <alignment horizontal="center" vertical="center" wrapText="1"/>
    </xf>
  </cellXfs>
  <cellStyles count="48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Dziesiętny 2" xfId="28" xr:uid="{00000000-0005-0000-0000-00001B000000}"/>
    <cellStyle name="Dziesiętny 3" xfId="29" xr:uid="{00000000-0005-0000-0000-00001C000000}"/>
    <cellStyle name="Dziesiętny 3 2" xfId="30" xr:uid="{00000000-0005-0000-0000-00001D000000}"/>
    <cellStyle name="Explanatory Text" xfId="31" xr:uid="{00000000-0005-0000-0000-00001E000000}"/>
    <cellStyle name="Good" xfId="32" xr:uid="{00000000-0005-0000-0000-00001F000000}"/>
    <cellStyle name="Heading 1" xfId="33" xr:uid="{00000000-0005-0000-0000-000020000000}"/>
    <cellStyle name="Heading 2" xfId="34" xr:uid="{00000000-0005-0000-0000-000021000000}"/>
    <cellStyle name="Heading 3" xfId="35" xr:uid="{00000000-0005-0000-0000-000022000000}"/>
    <cellStyle name="Heading 4" xfId="36" xr:uid="{00000000-0005-0000-0000-000023000000}"/>
    <cellStyle name="Input" xfId="37" xr:uid="{00000000-0005-0000-0000-000024000000}"/>
    <cellStyle name="Linked Cell" xfId="38" xr:uid="{00000000-0005-0000-0000-000025000000}"/>
    <cellStyle name="Neutral" xfId="39" xr:uid="{00000000-0005-0000-0000-000026000000}"/>
    <cellStyle name="Normalny" xfId="0" builtinId="0"/>
    <cellStyle name="Normalny 2" xfId="40" xr:uid="{00000000-0005-0000-0000-000028000000}"/>
    <cellStyle name="Normalny 2 2" xfId="41" xr:uid="{00000000-0005-0000-0000-000029000000}"/>
    <cellStyle name="Note" xfId="42" xr:uid="{00000000-0005-0000-0000-00002A000000}"/>
    <cellStyle name="Note 2" xfId="43" xr:uid="{00000000-0005-0000-0000-00002B000000}"/>
    <cellStyle name="Output" xfId="44" xr:uid="{00000000-0005-0000-0000-00002C000000}"/>
    <cellStyle name="Title" xfId="45" xr:uid="{00000000-0005-0000-0000-00002D000000}"/>
    <cellStyle name="Total" xfId="46" xr:uid="{00000000-0005-0000-0000-00002E000000}"/>
    <cellStyle name="Warning Text" xfId="47" xr:uid="{00000000-0005-0000-0000-00002F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outlinePr summaryBelow="0"/>
  </sheetPr>
  <dimension ref="A1:Z131"/>
  <sheetViews>
    <sheetView tabSelected="1" zoomScaleNormal="100" workbookViewId="0"/>
  </sheetViews>
  <sheetFormatPr defaultRowHeight="12.75" outlineLevelRow="1" outlineLevelCol="1" x14ac:dyDescent="0.2"/>
  <cols>
    <col min="1" max="1" width="0.42578125" style="1" customWidth="1"/>
    <col min="2" max="2" width="45.7109375" style="1" customWidth="1"/>
    <col min="3" max="3" width="14.5703125" style="1" customWidth="1"/>
    <col min="4" max="4" width="15.7109375" style="1" customWidth="1"/>
    <col min="5" max="5" width="14.5703125" style="1" customWidth="1" outlineLevel="1"/>
    <col min="6" max="6" width="15.7109375" style="1" customWidth="1" outlineLevel="1"/>
    <col min="7" max="8" width="13" style="1" customWidth="1" outlineLevel="1"/>
    <col min="9" max="9" width="12" style="1" customWidth="1" outlineLevel="1"/>
    <col min="10" max="10" width="13" style="1" customWidth="1"/>
    <col min="11" max="11" width="7.42578125" style="1" customWidth="1"/>
    <col min="12" max="12" width="8.42578125" style="1" bestFit="1" customWidth="1"/>
    <col min="13" max="13" width="2.85546875" style="1" customWidth="1"/>
    <col min="14" max="16384" width="9.140625" style="1"/>
  </cols>
  <sheetData>
    <row r="1" spans="2:13" ht="20.25" x14ac:dyDescent="0.2">
      <c r="B1" s="86" t="str">
        <f>CONCATENATE("Informacja z wykonania budżetów jednostek samorządu terytorialnego za ",$D$129," ",$C$130," roku")</f>
        <v>Informacja z wykonania budżetów jednostek samorządu terytorialnego za II Kwartały 2025 roku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</row>
    <row r="3" spans="2:13" ht="57.75" x14ac:dyDescent="0.2">
      <c r="B3" s="117" t="s">
        <v>0</v>
      </c>
      <c r="C3" s="15" t="s">
        <v>28</v>
      </c>
      <c r="D3" s="15" t="s">
        <v>29</v>
      </c>
      <c r="E3" s="15" t="s">
        <v>30</v>
      </c>
      <c r="F3" s="15" t="s">
        <v>31</v>
      </c>
      <c r="G3" s="15" t="s">
        <v>32</v>
      </c>
      <c r="H3" s="15" t="s">
        <v>33</v>
      </c>
      <c r="I3" s="15" t="s">
        <v>34</v>
      </c>
      <c r="J3" s="17" t="s">
        <v>2</v>
      </c>
      <c r="K3" s="15" t="s">
        <v>18</v>
      </c>
      <c r="L3" s="15" t="s">
        <v>3</v>
      </c>
    </row>
    <row r="4" spans="2:13" x14ac:dyDescent="0.2">
      <c r="B4" s="117"/>
      <c r="C4" s="119" t="s">
        <v>64</v>
      </c>
      <c r="D4" s="120"/>
      <c r="E4" s="120"/>
      <c r="F4" s="120"/>
      <c r="G4" s="120"/>
      <c r="H4" s="120"/>
      <c r="I4" s="121"/>
      <c r="J4" s="118" t="s">
        <v>4</v>
      </c>
      <c r="K4" s="118"/>
      <c r="L4" s="118"/>
    </row>
    <row r="5" spans="2:13" x14ac:dyDescent="0.2">
      <c r="B5" s="17">
        <v>1</v>
      </c>
      <c r="C5" s="19">
        <v>2</v>
      </c>
      <c r="D5" s="19">
        <v>3</v>
      </c>
      <c r="E5" s="17">
        <v>4</v>
      </c>
      <c r="F5" s="19">
        <v>5</v>
      </c>
      <c r="G5" s="19">
        <v>6</v>
      </c>
      <c r="H5" s="17">
        <v>7</v>
      </c>
      <c r="I5" s="19">
        <v>8</v>
      </c>
      <c r="J5" s="19">
        <v>9</v>
      </c>
      <c r="K5" s="17">
        <v>10</v>
      </c>
      <c r="L5" s="19">
        <v>11</v>
      </c>
    </row>
    <row r="6" spans="2:13" x14ac:dyDescent="0.2">
      <c r="B6" s="56" t="s">
        <v>5</v>
      </c>
      <c r="C6" s="57">
        <f>467823132641.03</f>
        <v>467823132641.03003</v>
      </c>
      <c r="D6" s="57">
        <f>249713835284.84</f>
        <v>249713835284.84</v>
      </c>
      <c r="E6" s="57">
        <f>3573243402.95</f>
        <v>3573243402.9499998</v>
      </c>
      <c r="F6" s="57">
        <f>450453296.7</f>
        <v>450453296.69999999</v>
      </c>
      <c r="G6" s="57">
        <f>55338965.52</f>
        <v>55338965.520000003</v>
      </c>
      <c r="H6" s="57">
        <f>150288614.74</f>
        <v>150288614.74000001</v>
      </c>
      <c r="I6" s="57">
        <f>4249653.92</f>
        <v>4249653.92</v>
      </c>
      <c r="J6" s="58">
        <f t="shared" ref="J6:J53" si="0">IF($D$6=0,"",100*$D6/$D$6)</f>
        <v>100</v>
      </c>
      <c r="K6" s="58">
        <f t="shared" ref="K6:K53" si="1">IF(C6=0,"",100*D6/C6)</f>
        <v>53.377829752692108</v>
      </c>
      <c r="L6" s="58"/>
    </row>
    <row r="7" spans="2:13" ht="25.5" x14ac:dyDescent="0.2">
      <c r="B7" s="75" t="s">
        <v>46</v>
      </c>
      <c r="C7" s="25">
        <f>C6-C26-C50</f>
        <v>317062554633.90002</v>
      </c>
      <c r="D7" s="25">
        <f>D6-D26-D50</f>
        <v>180625575203.42999</v>
      </c>
      <c r="E7" s="25">
        <f>E6</f>
        <v>3573243402.9499998</v>
      </c>
      <c r="F7" s="25">
        <f>F6</f>
        <v>450453296.69999999</v>
      </c>
      <c r="G7" s="25">
        <f>G6</f>
        <v>55338965.520000003</v>
      </c>
      <c r="H7" s="25">
        <f>H6</f>
        <v>150288614.74000001</v>
      </c>
      <c r="I7" s="25">
        <f>I6</f>
        <v>4249653.92</v>
      </c>
      <c r="J7" s="34">
        <f t="shared" si="0"/>
        <v>72.333026721325481</v>
      </c>
      <c r="K7" s="34">
        <f t="shared" si="1"/>
        <v>56.968434955048991</v>
      </c>
      <c r="L7" s="34">
        <f t="shared" ref="L7:L25" si="2">IF($D$7=0,"",100*$D7/$D$7)</f>
        <v>100</v>
      </c>
    </row>
    <row r="8" spans="2:13" outlineLevel="1" x14ac:dyDescent="0.2">
      <c r="B8" s="31" t="s">
        <v>100</v>
      </c>
      <c r="C8" s="23">
        <f>173447465067.17</f>
        <v>173447465067.17001</v>
      </c>
      <c r="D8" s="23">
        <f>106743361728</f>
        <v>106743361728</v>
      </c>
      <c r="E8" s="23">
        <f>0</f>
        <v>0</v>
      </c>
      <c r="F8" s="23">
        <f>0</f>
        <v>0</v>
      </c>
      <c r="G8" s="23">
        <f>0</f>
        <v>0</v>
      </c>
      <c r="H8" s="23">
        <f>0</f>
        <v>0</v>
      </c>
      <c r="I8" s="24">
        <f>0</f>
        <v>0</v>
      </c>
      <c r="J8" s="35">
        <f t="shared" si="0"/>
        <v>42.746274593172423</v>
      </c>
      <c r="K8" s="35">
        <f t="shared" si="1"/>
        <v>61.542186094597639</v>
      </c>
      <c r="L8" s="35">
        <f t="shared" si="2"/>
        <v>59.096482659102968</v>
      </c>
    </row>
    <row r="9" spans="2:13" outlineLevel="1" x14ac:dyDescent="0.2">
      <c r="B9" s="31" t="s">
        <v>101</v>
      </c>
      <c r="C9" s="23">
        <f>28156211265.72</f>
        <v>28156211265.720001</v>
      </c>
      <c r="D9" s="23">
        <f>14078278654.37</f>
        <v>14078278654.370001</v>
      </c>
      <c r="E9" s="23">
        <f>0</f>
        <v>0</v>
      </c>
      <c r="F9" s="23">
        <f>0</f>
        <v>0</v>
      </c>
      <c r="G9" s="23">
        <f>0</f>
        <v>0</v>
      </c>
      <c r="H9" s="23">
        <f>0</f>
        <v>0</v>
      </c>
      <c r="I9" s="24">
        <f>0</f>
        <v>0</v>
      </c>
      <c r="J9" s="35">
        <f t="shared" si="0"/>
        <v>5.6377647791566661</v>
      </c>
      <c r="K9" s="35">
        <f t="shared" si="1"/>
        <v>50.00061450565336</v>
      </c>
      <c r="L9" s="35">
        <f t="shared" si="2"/>
        <v>7.7941778945281168</v>
      </c>
    </row>
    <row r="10" spans="2:13" outlineLevel="1" x14ac:dyDescent="0.2">
      <c r="B10" s="31" t="s">
        <v>108</v>
      </c>
      <c r="C10" s="23">
        <f>36787386734.67</f>
        <v>36787386734.669998</v>
      </c>
      <c r="D10" s="23">
        <f>20154053939.33</f>
        <v>20154053939.330002</v>
      </c>
      <c r="E10" s="23">
        <f>1829287973.18</f>
        <v>1829287973.1800001</v>
      </c>
      <c r="F10" s="23">
        <f>446747329.11</f>
        <v>446747329.11000001</v>
      </c>
      <c r="G10" s="23">
        <f>39354215.7</f>
        <v>39354215.700000003</v>
      </c>
      <c r="H10" s="23">
        <f>116739709.87</f>
        <v>116739709.87</v>
      </c>
      <c r="I10" s="24">
        <f>3248036.18</f>
        <v>3248036.18</v>
      </c>
      <c r="J10" s="35">
        <f t="shared" si="0"/>
        <v>8.0708599570948749</v>
      </c>
      <c r="K10" s="35">
        <f t="shared" si="1"/>
        <v>54.785228656473073</v>
      </c>
      <c r="L10" s="35">
        <f t="shared" si="2"/>
        <v>11.157918205454267</v>
      </c>
    </row>
    <row r="11" spans="2:13" outlineLevel="1" x14ac:dyDescent="0.2">
      <c r="B11" s="31" t="s">
        <v>109</v>
      </c>
      <c r="C11" s="23">
        <f>2284281019</f>
        <v>2284281019</v>
      </c>
      <c r="D11" s="23">
        <f>1405290379.74</f>
        <v>1405290379.74</v>
      </c>
      <c r="E11" s="23">
        <f>175295137.05</f>
        <v>175295137.05000001</v>
      </c>
      <c r="F11" s="23">
        <f>1412086.08</f>
        <v>1412086.08</v>
      </c>
      <c r="G11" s="23">
        <f>1558028.87</f>
        <v>1558028.87</v>
      </c>
      <c r="H11" s="23">
        <f>1709499.22</f>
        <v>1709499.22</v>
      </c>
      <c r="I11" s="24">
        <f>2153.15</f>
        <v>2153.15</v>
      </c>
      <c r="J11" s="35">
        <f t="shared" si="0"/>
        <v>0.56276032048325775</v>
      </c>
      <c r="K11" s="35">
        <f t="shared" si="1"/>
        <v>61.520030506369146</v>
      </c>
      <c r="L11" s="35">
        <f t="shared" si="2"/>
        <v>0.77801295755448163</v>
      </c>
    </row>
    <row r="12" spans="2:13" outlineLevel="1" x14ac:dyDescent="0.2">
      <c r="B12" s="31" t="s">
        <v>110</v>
      </c>
      <c r="C12" s="23">
        <f>457034597.61</f>
        <v>457034597.61000001</v>
      </c>
      <c r="D12" s="23">
        <f>241061900.96</f>
        <v>241061900.96000001</v>
      </c>
      <c r="E12" s="23">
        <f>1398566.78</f>
        <v>1398566.78</v>
      </c>
      <c r="F12" s="23">
        <f>457392.8</f>
        <v>457392.8</v>
      </c>
      <c r="G12" s="23">
        <f>58464.08</f>
        <v>58464.08</v>
      </c>
      <c r="H12" s="23">
        <f>11930.26</f>
        <v>11930.26</v>
      </c>
      <c r="I12" s="24">
        <f>1.46</f>
        <v>1.46</v>
      </c>
      <c r="J12" s="35">
        <f t="shared" si="0"/>
        <v>9.653526032509531E-2</v>
      </c>
      <c r="K12" s="35">
        <f t="shared" si="1"/>
        <v>52.74478173438078</v>
      </c>
      <c r="L12" s="35">
        <f t="shared" si="2"/>
        <v>0.13345945096008882</v>
      </c>
    </row>
    <row r="13" spans="2:13" outlineLevel="1" x14ac:dyDescent="0.2">
      <c r="B13" s="31" t="s">
        <v>19</v>
      </c>
      <c r="C13" s="23">
        <f>1539933084.73</f>
        <v>1539933084.73</v>
      </c>
      <c r="D13" s="23">
        <f>807997584.72</f>
        <v>807997584.72000003</v>
      </c>
      <c r="E13" s="23">
        <f>1550424857.4</f>
        <v>1550424857.4000001</v>
      </c>
      <c r="F13" s="23">
        <f>1836488.71</f>
        <v>1836488.71</v>
      </c>
      <c r="G13" s="23">
        <f>1054803.55</f>
        <v>1054803.55</v>
      </c>
      <c r="H13" s="23">
        <f>7201728.33</f>
        <v>7201728.3300000001</v>
      </c>
      <c r="I13" s="24">
        <f>40525</f>
        <v>40525</v>
      </c>
      <c r="J13" s="35">
        <f t="shared" si="0"/>
        <v>0.32356941048073884</v>
      </c>
      <c r="K13" s="35">
        <f t="shared" si="1"/>
        <v>52.469655515042597</v>
      </c>
      <c r="L13" s="35">
        <f t="shared" si="2"/>
        <v>0.4473328784198975</v>
      </c>
    </row>
    <row r="14" spans="2:13" outlineLevel="1" x14ac:dyDescent="0.2">
      <c r="B14" s="31" t="s">
        <v>24</v>
      </c>
      <c r="C14" s="23">
        <f>3724958063.52</f>
        <v>3724958063.52</v>
      </c>
      <c r="D14" s="23">
        <f>2041966402.45</f>
        <v>2041966402.45</v>
      </c>
      <c r="E14" s="23">
        <f>0</f>
        <v>0</v>
      </c>
      <c r="F14" s="23">
        <f>0</f>
        <v>0</v>
      </c>
      <c r="G14" s="23">
        <f>177186.35</f>
        <v>177186.35</v>
      </c>
      <c r="H14" s="23">
        <f>634819.47</f>
        <v>634819.47</v>
      </c>
      <c r="I14" s="24">
        <f>0</f>
        <v>0</v>
      </c>
      <c r="J14" s="35">
        <f t="shared" si="0"/>
        <v>0.81772257437029827</v>
      </c>
      <c r="K14" s="35">
        <f t="shared" si="1"/>
        <v>54.818507151739276</v>
      </c>
      <c r="L14" s="35">
        <f t="shared" si="2"/>
        <v>1.1304968303354774</v>
      </c>
    </row>
    <row r="15" spans="2:13" ht="22.5" outlineLevel="1" x14ac:dyDescent="0.2">
      <c r="B15" s="31" t="s">
        <v>111</v>
      </c>
      <c r="C15" s="23">
        <f>182716206.88</f>
        <v>182716206.88</v>
      </c>
      <c r="D15" s="23">
        <f>81015919.98</f>
        <v>81015919.980000004</v>
      </c>
      <c r="E15" s="23">
        <f>0</f>
        <v>0</v>
      </c>
      <c r="F15" s="23">
        <f>0</f>
        <v>0</v>
      </c>
      <c r="G15" s="23">
        <f>22083.18</f>
        <v>22083.18</v>
      </c>
      <c r="H15" s="23">
        <f>297764.64</f>
        <v>297764.64</v>
      </c>
      <c r="I15" s="24">
        <f>0</f>
        <v>0</v>
      </c>
      <c r="J15" s="35">
        <f t="shared" si="0"/>
        <v>3.2443504737167617E-2</v>
      </c>
      <c r="K15" s="35">
        <f t="shared" si="1"/>
        <v>44.339755823197287</v>
      </c>
      <c r="L15" s="35">
        <f t="shared" si="2"/>
        <v>4.4852961652166713E-2</v>
      </c>
    </row>
    <row r="16" spans="2:13" outlineLevel="1" x14ac:dyDescent="0.2">
      <c r="B16" s="31" t="s">
        <v>112</v>
      </c>
      <c r="C16" s="23">
        <f>666146675.68</f>
        <v>666146675.67999995</v>
      </c>
      <c r="D16" s="23">
        <f>332872726.31</f>
        <v>332872726.31</v>
      </c>
      <c r="E16" s="23">
        <f>0</f>
        <v>0</v>
      </c>
      <c r="F16" s="23">
        <f>0</f>
        <v>0</v>
      </c>
      <c r="G16" s="23">
        <f>703</f>
        <v>703</v>
      </c>
      <c r="H16" s="23">
        <f>121</f>
        <v>121</v>
      </c>
      <c r="I16" s="24">
        <f>0</f>
        <v>0</v>
      </c>
      <c r="J16" s="35">
        <f t="shared" si="0"/>
        <v>0.13330167546796257</v>
      </c>
      <c r="K16" s="35">
        <f t="shared" si="1"/>
        <v>49.96988478103637</v>
      </c>
      <c r="L16" s="35">
        <f t="shared" si="2"/>
        <v>0.18428881177823311</v>
      </c>
    </row>
    <row r="17" spans="2:12" outlineLevel="1" x14ac:dyDescent="0.2">
      <c r="B17" s="31" t="s">
        <v>25</v>
      </c>
      <c r="C17" s="23">
        <f>486895557.27</f>
        <v>486895557.26999998</v>
      </c>
      <c r="D17" s="23">
        <f>260474320.2</f>
        <v>260474320.19999999</v>
      </c>
      <c r="E17" s="23">
        <f>0</f>
        <v>0</v>
      </c>
      <c r="F17" s="23">
        <f>0</f>
        <v>0</v>
      </c>
      <c r="G17" s="23">
        <f>33420</f>
        <v>33420</v>
      </c>
      <c r="H17" s="23">
        <f>415084.89</f>
        <v>415084.89</v>
      </c>
      <c r="I17" s="24">
        <f>0</f>
        <v>0</v>
      </c>
      <c r="J17" s="35">
        <f t="shared" si="0"/>
        <v>0.10430912644583185</v>
      </c>
      <c r="K17" s="35">
        <f t="shared" si="1"/>
        <v>53.49695973002239</v>
      </c>
      <c r="L17" s="35">
        <f t="shared" si="2"/>
        <v>0.14420677686791594</v>
      </c>
    </row>
    <row r="18" spans="2:12" outlineLevel="1" x14ac:dyDescent="0.2">
      <c r="B18" s="31" t="s">
        <v>113</v>
      </c>
      <c r="C18" s="23">
        <f>538243804.18</f>
        <v>538243804.17999995</v>
      </c>
      <c r="D18" s="23">
        <f>332335139.13</f>
        <v>332335139.13</v>
      </c>
      <c r="E18" s="23">
        <f>0</f>
        <v>0</v>
      </c>
      <c r="F18" s="23">
        <f>0</f>
        <v>0</v>
      </c>
      <c r="G18" s="23">
        <f>2817419.72</f>
        <v>2817419.72</v>
      </c>
      <c r="H18" s="23">
        <f>8403292.11</f>
        <v>8403292.1099999994</v>
      </c>
      <c r="I18" s="24">
        <f>0</f>
        <v>0</v>
      </c>
      <c r="J18" s="35">
        <f t="shared" si="0"/>
        <v>0.13308639417231999</v>
      </c>
      <c r="K18" s="35">
        <f t="shared" si="1"/>
        <v>61.744350153050753</v>
      </c>
      <c r="L18" s="35">
        <f t="shared" si="2"/>
        <v>0.1839911866056104</v>
      </c>
    </row>
    <row r="19" spans="2:12" outlineLevel="1" x14ac:dyDescent="0.2">
      <c r="B19" s="31" t="s">
        <v>26</v>
      </c>
      <c r="C19" s="23">
        <f>128252045.5</f>
        <v>128252045.5</v>
      </c>
      <c r="D19" s="23">
        <f>54017773.73</f>
        <v>54017773.729999997</v>
      </c>
      <c r="E19" s="23">
        <f>523979</f>
        <v>523979</v>
      </c>
      <c r="F19" s="23">
        <f>0</f>
        <v>0</v>
      </c>
      <c r="G19" s="23">
        <f>0</f>
        <v>0</v>
      </c>
      <c r="H19" s="23">
        <f>16285.33</f>
        <v>16285.33</v>
      </c>
      <c r="I19" s="24">
        <f>0</f>
        <v>0</v>
      </c>
      <c r="J19" s="35">
        <f t="shared" si="0"/>
        <v>2.1631870604359497E-2</v>
      </c>
      <c r="K19" s="35">
        <f>IF(C19=0,"",100*D19/C19)</f>
        <v>42.118450056221519</v>
      </c>
      <c r="L19" s="35">
        <f t="shared" si="2"/>
        <v>2.9905938662984105E-2</v>
      </c>
    </row>
    <row r="20" spans="2:12" outlineLevel="1" x14ac:dyDescent="0.2">
      <c r="B20" s="31" t="s">
        <v>114</v>
      </c>
      <c r="C20" s="23">
        <f>76748199.68</f>
        <v>76748199.680000007</v>
      </c>
      <c r="D20" s="23">
        <f>24974345.45</f>
        <v>24974345.449999999</v>
      </c>
      <c r="E20" s="23">
        <f>118337.44</f>
        <v>118337.44</v>
      </c>
      <c r="F20" s="23">
        <f>0</f>
        <v>0</v>
      </c>
      <c r="G20" s="23">
        <f>0</f>
        <v>0</v>
      </c>
      <c r="H20" s="23">
        <f>0</f>
        <v>0</v>
      </c>
      <c r="I20" s="24">
        <f>0</f>
        <v>0</v>
      </c>
      <c r="J20" s="35">
        <f t="shared" si="0"/>
        <v>1.0001186126316399E-2</v>
      </c>
      <c r="K20" s="35">
        <f>IF(C20=0,"",100*D20/C20)</f>
        <v>32.540627081977171</v>
      </c>
      <c r="L20" s="35">
        <f t="shared" si="2"/>
        <v>1.3826583207761461E-2</v>
      </c>
    </row>
    <row r="21" spans="2:12" outlineLevel="1" x14ac:dyDescent="0.2">
      <c r="B21" s="31" t="s">
        <v>115</v>
      </c>
      <c r="C21" s="23">
        <f>128401555</f>
        <v>128401555</v>
      </c>
      <c r="D21" s="23">
        <f>53639621.47</f>
        <v>53639621.469999999</v>
      </c>
      <c r="E21" s="23">
        <f>201909.11</f>
        <v>201909.11</v>
      </c>
      <c r="F21" s="23">
        <f>0</f>
        <v>0</v>
      </c>
      <c r="G21" s="23">
        <f>132.3</f>
        <v>132.30000000000001</v>
      </c>
      <c r="H21" s="23">
        <f>0</f>
        <v>0</v>
      </c>
      <c r="I21" s="24">
        <f>0</f>
        <v>0</v>
      </c>
      <c r="J21" s="35">
        <f t="shared" si="0"/>
        <v>2.148043635980967E-2</v>
      </c>
      <c r="K21" s="35">
        <f>IF(C21=0,"",100*D21/C21)</f>
        <v>41.774900210515362</v>
      </c>
      <c r="L21" s="35">
        <f t="shared" si="2"/>
        <v>2.9696581677089884E-2</v>
      </c>
    </row>
    <row r="22" spans="2:12" outlineLevel="1" x14ac:dyDescent="0.2">
      <c r="B22" s="31" t="s">
        <v>116</v>
      </c>
      <c r="C22" s="23">
        <f>3622425</f>
        <v>3622425</v>
      </c>
      <c r="D22" s="23">
        <f>2812015.3</f>
        <v>2812015.3</v>
      </c>
      <c r="E22" s="23">
        <f>1181878.57</f>
        <v>1181878.57</v>
      </c>
      <c r="F22" s="23">
        <f>0</f>
        <v>0</v>
      </c>
      <c r="G22" s="23">
        <f>940</f>
        <v>940</v>
      </c>
      <c r="H22" s="23">
        <f>0</f>
        <v>0</v>
      </c>
      <c r="I22" s="24">
        <f>0</f>
        <v>0</v>
      </c>
      <c r="J22" s="35">
        <f t="shared" si="0"/>
        <v>1.1260951147510233E-3</v>
      </c>
      <c r="K22" s="35">
        <f>IF(C22=0,"",100*D22/C22)</f>
        <v>77.627978495068916</v>
      </c>
      <c r="L22" s="35">
        <f t="shared" si="2"/>
        <v>1.556820121864227E-3</v>
      </c>
    </row>
    <row r="23" spans="2:12" outlineLevel="1" x14ac:dyDescent="0.2">
      <c r="B23" s="31" t="s">
        <v>117</v>
      </c>
      <c r="C23" s="23">
        <f>1784175</f>
        <v>1784175</v>
      </c>
      <c r="D23" s="23">
        <f>1298576.64</f>
        <v>1298576.6399999999</v>
      </c>
      <c r="E23" s="23">
        <f>1069097</f>
        <v>1069097</v>
      </c>
      <c r="F23" s="23">
        <f>0</f>
        <v>0</v>
      </c>
      <c r="G23" s="23">
        <f>983</f>
        <v>983</v>
      </c>
      <c r="H23" s="23">
        <f>0</f>
        <v>0</v>
      </c>
      <c r="I23" s="24">
        <f>0</f>
        <v>0</v>
      </c>
      <c r="J23" s="35">
        <f t="shared" si="0"/>
        <v>5.2002590826365626E-4</v>
      </c>
      <c r="K23" s="35">
        <f>IF(C23=0,"",100*D23/C23)</f>
        <v>72.783030812560412</v>
      </c>
      <c r="L23" s="35">
        <f t="shared" si="2"/>
        <v>7.1893287455969336E-4</v>
      </c>
    </row>
    <row r="24" spans="2:12" outlineLevel="1" x14ac:dyDescent="0.2">
      <c r="B24" s="31" t="s">
        <v>20</v>
      </c>
      <c r="C24" s="23">
        <f>11646918046.65</f>
        <v>11646918046.65</v>
      </c>
      <c r="D24" s="23">
        <f>4878606299.4</f>
        <v>4878606299.3999996</v>
      </c>
      <c r="E24" s="23">
        <f>0</f>
        <v>0</v>
      </c>
      <c r="F24" s="23">
        <f>0</f>
        <v>0</v>
      </c>
      <c r="G24" s="23">
        <f>20986.65</f>
        <v>20986.65</v>
      </c>
      <c r="H24" s="23">
        <f>47667.95</f>
        <v>47667.95</v>
      </c>
      <c r="I24" s="24">
        <f>0</f>
        <v>0</v>
      </c>
      <c r="J24" s="35">
        <f t="shared" si="0"/>
        <v>1.9536788155270375</v>
      </c>
      <c r="K24" s="35">
        <f t="shared" si="1"/>
        <v>41.887530073273176</v>
      </c>
      <c r="L24" s="35">
        <f t="shared" si="2"/>
        <v>2.7009499036365461</v>
      </c>
    </row>
    <row r="25" spans="2:12" outlineLevel="1" x14ac:dyDescent="0.2">
      <c r="B25" s="31" t="s">
        <v>21</v>
      </c>
      <c r="C25" s="23">
        <f>C7-C8-C9-C10-C11-C12-C13-C14-C15-C16-C17-C18-C19-C20-C21-C22-C23-C24</f>
        <v>56805556110.640015</v>
      </c>
      <c r="D25" s="23">
        <f t="shared" ref="D25:I25" si="3">D7-D8-D9-D10-D11-D12-D13-D14-D15-D16-D17-D18-D19-D20-D21-D22-D23-D24</f>
        <v>29131517876.249992</v>
      </c>
      <c r="E25" s="23">
        <f t="shared" si="3"/>
        <v>13741667.419999724</v>
      </c>
      <c r="F25" s="23">
        <f t="shared" si="3"/>
        <v>-2.6309862732887268E-8</v>
      </c>
      <c r="G25" s="23">
        <f t="shared" si="3"/>
        <v>10239599.119999997</v>
      </c>
      <c r="H25" s="23">
        <f t="shared" si="3"/>
        <v>14810711.670000004</v>
      </c>
      <c r="I25" s="23">
        <f t="shared" si="3"/>
        <v>958938.12999999977</v>
      </c>
      <c r="J25" s="35">
        <f t="shared" si="0"/>
        <v>11.665960695778297</v>
      </c>
      <c r="K25" s="35">
        <f t="shared" si="1"/>
        <v>51.282867153893569</v>
      </c>
      <c r="L25" s="35">
        <f t="shared" si="2"/>
        <v>16.12812462655997</v>
      </c>
    </row>
    <row r="26" spans="2:12" ht="25.5" x14ac:dyDescent="0.2">
      <c r="B26" s="76" t="s">
        <v>89</v>
      </c>
      <c r="C26" s="57">
        <f>C27+C46+C48</f>
        <v>101919068514.29999</v>
      </c>
      <c r="D26" s="57">
        <f>D27+D46+D48</f>
        <v>40802109508.330017</v>
      </c>
      <c r="E26" s="59" t="s">
        <v>45</v>
      </c>
      <c r="F26" s="59" t="s">
        <v>45</v>
      </c>
      <c r="G26" s="59" t="s">
        <v>45</v>
      </c>
      <c r="H26" s="59" t="s">
        <v>45</v>
      </c>
      <c r="I26" s="59" t="s">
        <v>45</v>
      </c>
      <c r="J26" s="58">
        <f t="shared" si="0"/>
        <v>16.339547010596529</v>
      </c>
      <c r="K26" s="58">
        <f t="shared" si="1"/>
        <v>40.03383282747054</v>
      </c>
      <c r="L26" s="60"/>
    </row>
    <row r="27" spans="2:12" ht="25.5" outlineLevel="1" x14ac:dyDescent="0.2">
      <c r="B27" s="81" t="s">
        <v>47</v>
      </c>
      <c r="C27" s="57">
        <f>C28+C30+C32+C34+C36+C38+C40+C42+C44</f>
        <v>74587221801.619995</v>
      </c>
      <c r="D27" s="57">
        <f>D28+D30+D32+D34+D36+D38+D40+D42+D44</f>
        <v>34181931445.850002</v>
      </c>
      <c r="E27" s="59" t="s">
        <v>45</v>
      </c>
      <c r="F27" s="59" t="s">
        <v>45</v>
      </c>
      <c r="G27" s="59" t="s">
        <v>45</v>
      </c>
      <c r="H27" s="59" t="s">
        <v>45</v>
      </c>
      <c r="I27" s="59" t="s">
        <v>45</v>
      </c>
      <c r="J27" s="58">
        <f t="shared" si="0"/>
        <v>13.68844117381796</v>
      </c>
      <c r="K27" s="58">
        <f t="shared" si="1"/>
        <v>45.828133318551338</v>
      </c>
      <c r="L27" s="60"/>
    </row>
    <row r="28" spans="2:12" outlineLevel="1" x14ac:dyDescent="0.2">
      <c r="B28" s="80" t="s">
        <v>9</v>
      </c>
      <c r="C28" s="24">
        <f>26564520776.91</f>
        <v>26564520776.91</v>
      </c>
      <c r="D28" s="24">
        <f>17307967044.54</f>
        <v>17307967044.540001</v>
      </c>
      <c r="E28" s="24" t="s">
        <v>45</v>
      </c>
      <c r="F28" s="24" t="s">
        <v>45</v>
      </c>
      <c r="G28" s="24" t="s">
        <v>45</v>
      </c>
      <c r="H28" s="24" t="s">
        <v>45</v>
      </c>
      <c r="I28" s="24" t="s">
        <v>45</v>
      </c>
      <c r="J28" s="35">
        <f t="shared" si="0"/>
        <v>6.9311205864093983</v>
      </c>
      <c r="K28" s="35">
        <f t="shared" si="1"/>
        <v>65.154448634300834</v>
      </c>
      <c r="L28" s="30"/>
    </row>
    <row r="29" spans="2:12" outlineLevel="1" x14ac:dyDescent="0.2">
      <c r="B29" s="82" t="s">
        <v>6</v>
      </c>
      <c r="C29" s="24">
        <f>291761871.23</f>
        <v>291761871.23000002</v>
      </c>
      <c r="D29" s="24">
        <f>80721674.38</f>
        <v>80721674.379999995</v>
      </c>
      <c r="E29" s="24" t="s">
        <v>45</v>
      </c>
      <c r="F29" s="24" t="s">
        <v>45</v>
      </c>
      <c r="G29" s="24" t="s">
        <v>45</v>
      </c>
      <c r="H29" s="24" t="s">
        <v>45</v>
      </c>
      <c r="I29" s="24" t="s">
        <v>45</v>
      </c>
      <c r="J29" s="35">
        <f t="shared" si="0"/>
        <v>3.2325671618444192E-2</v>
      </c>
      <c r="K29" s="35">
        <f t="shared" si="1"/>
        <v>27.666971712135052</v>
      </c>
      <c r="L29" s="30"/>
    </row>
    <row r="30" spans="2:12" outlineLevel="1" x14ac:dyDescent="0.2">
      <c r="B30" s="80" t="s">
        <v>7</v>
      </c>
      <c r="C30" s="24">
        <f>9049545348.71</f>
        <v>9049545348.7099991</v>
      </c>
      <c r="D30" s="24">
        <f>3890009074.68</f>
        <v>3890009074.6799998</v>
      </c>
      <c r="E30" s="24" t="s">
        <v>45</v>
      </c>
      <c r="F30" s="24" t="s">
        <v>45</v>
      </c>
      <c r="G30" s="24" t="s">
        <v>45</v>
      </c>
      <c r="H30" s="24" t="s">
        <v>45</v>
      </c>
      <c r="I30" s="24" t="s">
        <v>45</v>
      </c>
      <c r="J30" s="35">
        <f t="shared" si="0"/>
        <v>1.5577867642947376</v>
      </c>
      <c r="K30" s="35">
        <f t="shared" si="1"/>
        <v>42.985685189527402</v>
      </c>
      <c r="L30" s="30"/>
    </row>
    <row r="31" spans="2:12" outlineLevel="1" x14ac:dyDescent="0.2">
      <c r="B31" s="82" t="s">
        <v>6</v>
      </c>
      <c r="C31" s="24">
        <f>1724943312</f>
        <v>1724943312</v>
      </c>
      <c r="D31" s="24">
        <f>356932561.06</f>
        <v>356932561.06</v>
      </c>
      <c r="E31" s="24" t="s">
        <v>45</v>
      </c>
      <c r="F31" s="24" t="s">
        <v>45</v>
      </c>
      <c r="G31" s="24" t="s">
        <v>45</v>
      </c>
      <c r="H31" s="24" t="s">
        <v>45</v>
      </c>
      <c r="I31" s="24" t="s">
        <v>45</v>
      </c>
      <c r="J31" s="35">
        <f t="shared" si="0"/>
        <v>0.14293663811332652</v>
      </c>
      <c r="K31" s="35">
        <f t="shared" si="1"/>
        <v>20.692422677134331</v>
      </c>
      <c r="L31" s="30"/>
    </row>
    <row r="32" spans="2:12" ht="22.5" outlineLevel="1" x14ac:dyDescent="0.2">
      <c r="B32" s="80" t="s">
        <v>10</v>
      </c>
      <c r="C32" s="24">
        <f>286192062.13</f>
        <v>286192062.13</v>
      </c>
      <c r="D32" s="24">
        <f>208310283.72</f>
        <v>208310283.72</v>
      </c>
      <c r="E32" s="24" t="s">
        <v>45</v>
      </c>
      <c r="F32" s="24" t="s">
        <v>45</v>
      </c>
      <c r="G32" s="24" t="s">
        <v>45</v>
      </c>
      <c r="H32" s="24" t="s">
        <v>45</v>
      </c>
      <c r="I32" s="24" t="s">
        <v>45</v>
      </c>
      <c r="J32" s="35">
        <f t="shared" si="0"/>
        <v>8.3419600472832284E-2</v>
      </c>
      <c r="K32" s="35">
        <f t="shared" si="1"/>
        <v>72.786883804407211</v>
      </c>
      <c r="L32" s="30"/>
    </row>
    <row r="33" spans="2:12" outlineLevel="1" x14ac:dyDescent="0.2">
      <c r="B33" s="82" t="s">
        <v>6</v>
      </c>
      <c r="C33" s="24">
        <f>36585928.04</f>
        <v>36585928.039999999</v>
      </c>
      <c r="D33" s="24">
        <f>7285362.44</f>
        <v>7285362.4400000004</v>
      </c>
      <c r="E33" s="24" t="s">
        <v>45</v>
      </c>
      <c r="F33" s="24" t="s">
        <v>45</v>
      </c>
      <c r="G33" s="24" t="s">
        <v>45</v>
      </c>
      <c r="H33" s="24" t="s">
        <v>45</v>
      </c>
      <c r="I33" s="24" t="s">
        <v>45</v>
      </c>
      <c r="J33" s="35">
        <f t="shared" si="0"/>
        <v>2.9174845004842592E-3</v>
      </c>
      <c r="K33" s="35">
        <f t="shared" si="1"/>
        <v>19.913018010735694</v>
      </c>
      <c r="L33" s="30"/>
    </row>
    <row r="34" spans="2:12" ht="22.5" outlineLevel="1" x14ac:dyDescent="0.2">
      <c r="B34" s="80" t="s">
        <v>11</v>
      </c>
      <c r="C34" s="24">
        <f>2410673073.86</f>
        <v>2410673073.8600001</v>
      </c>
      <c r="D34" s="24">
        <f>979061145.17</f>
        <v>979061145.16999996</v>
      </c>
      <c r="E34" s="24" t="s">
        <v>45</v>
      </c>
      <c r="F34" s="24" t="s">
        <v>45</v>
      </c>
      <c r="G34" s="24" t="s">
        <v>45</v>
      </c>
      <c r="H34" s="24" t="s">
        <v>45</v>
      </c>
      <c r="I34" s="24" t="s">
        <v>45</v>
      </c>
      <c r="J34" s="35">
        <f t="shared" si="0"/>
        <v>0.3920732481855555</v>
      </c>
      <c r="K34" s="35">
        <f t="shared" si="1"/>
        <v>40.613601063802271</v>
      </c>
      <c r="L34" s="30"/>
    </row>
    <row r="35" spans="2:12" outlineLevel="1" x14ac:dyDescent="0.2">
      <c r="B35" s="82" t="s">
        <v>6</v>
      </c>
      <c r="C35" s="24">
        <f>455206535.92</f>
        <v>455206535.92000002</v>
      </c>
      <c r="D35" s="24">
        <f>46767798.73</f>
        <v>46767798.729999997</v>
      </c>
      <c r="E35" s="24" t="s">
        <v>45</v>
      </c>
      <c r="F35" s="24" t="s">
        <v>45</v>
      </c>
      <c r="G35" s="24" t="s">
        <v>45</v>
      </c>
      <c r="H35" s="24" t="s">
        <v>45</v>
      </c>
      <c r="I35" s="24" t="s">
        <v>45</v>
      </c>
      <c r="J35" s="35">
        <f t="shared" si="0"/>
        <v>1.8728557301061665E-2</v>
      </c>
      <c r="K35" s="35">
        <f t="shared" si="1"/>
        <v>10.273973469093418</v>
      </c>
      <c r="L35" s="30"/>
    </row>
    <row r="36" spans="2:12" ht="22.5" outlineLevel="1" x14ac:dyDescent="0.2">
      <c r="B36" s="80" t="s">
        <v>65</v>
      </c>
      <c r="C36" s="24">
        <f>2867451308.78</f>
        <v>2867451308.7800002</v>
      </c>
      <c r="D36" s="24">
        <f>873000334.82</f>
        <v>873000334.82000005</v>
      </c>
      <c r="E36" s="24" t="s">
        <v>45</v>
      </c>
      <c r="F36" s="24" t="s">
        <v>45</v>
      </c>
      <c r="G36" s="24" t="s">
        <v>45</v>
      </c>
      <c r="H36" s="24" t="s">
        <v>45</v>
      </c>
      <c r="I36" s="24" t="s">
        <v>45</v>
      </c>
      <c r="J36" s="35">
        <f t="shared" si="0"/>
        <v>0.34960030701710959</v>
      </c>
      <c r="K36" s="35">
        <f t="shared" si="1"/>
        <v>30.445166833240176</v>
      </c>
      <c r="L36" s="30"/>
    </row>
    <row r="37" spans="2:12" outlineLevel="1" x14ac:dyDescent="0.2">
      <c r="B37" s="82" t="s">
        <v>6</v>
      </c>
      <c r="C37" s="24">
        <f>2370381912.14</f>
        <v>2370381912.1399999</v>
      </c>
      <c r="D37" s="24">
        <f>596442971.19</f>
        <v>596442971.19000006</v>
      </c>
      <c r="E37" s="24" t="s">
        <v>45</v>
      </c>
      <c r="F37" s="24" t="s">
        <v>45</v>
      </c>
      <c r="G37" s="24" t="s">
        <v>45</v>
      </c>
      <c r="H37" s="24" t="s">
        <v>45</v>
      </c>
      <c r="I37" s="24" t="s">
        <v>45</v>
      </c>
      <c r="J37" s="35">
        <f t="shared" si="0"/>
        <v>0.23885059092126718</v>
      </c>
      <c r="K37" s="35">
        <f t="shared" si="1"/>
        <v>25.162315327133363</v>
      </c>
      <c r="L37" s="30"/>
    </row>
    <row r="38" spans="2:12" outlineLevel="1" x14ac:dyDescent="0.2">
      <c r="B38" s="80" t="s">
        <v>8</v>
      </c>
      <c r="C38" s="24">
        <f>1080410140.89</f>
        <v>1080410140.8900001</v>
      </c>
      <c r="D38" s="24">
        <f>193063647.07</f>
        <v>193063647.06999999</v>
      </c>
      <c r="E38" s="24" t="s">
        <v>45</v>
      </c>
      <c r="F38" s="24" t="s">
        <v>45</v>
      </c>
      <c r="G38" s="24" t="s">
        <v>45</v>
      </c>
      <c r="H38" s="24" t="s">
        <v>45</v>
      </c>
      <c r="I38" s="24" t="s">
        <v>45</v>
      </c>
      <c r="J38" s="35">
        <f t="shared" si="0"/>
        <v>7.7313956933855482E-2</v>
      </c>
      <c r="K38" s="35">
        <f t="shared" si="1"/>
        <v>17.869477503326806</v>
      </c>
      <c r="L38" s="30"/>
    </row>
    <row r="39" spans="2:12" outlineLevel="1" x14ac:dyDescent="0.2">
      <c r="B39" s="82" t="s">
        <v>6</v>
      </c>
      <c r="C39" s="24">
        <f>974763834.32</f>
        <v>974763834.32000005</v>
      </c>
      <c r="D39" s="24">
        <f>136617861.1</f>
        <v>136617861.09999999</v>
      </c>
      <c r="E39" s="24" t="s">
        <v>45</v>
      </c>
      <c r="F39" s="24" t="s">
        <v>45</v>
      </c>
      <c r="G39" s="24" t="s">
        <v>45</v>
      </c>
      <c r="H39" s="24" t="s">
        <v>45</v>
      </c>
      <c r="I39" s="24" t="s">
        <v>45</v>
      </c>
      <c r="J39" s="35">
        <f t="shared" si="0"/>
        <v>5.4709768461232711E-2</v>
      </c>
      <c r="K39" s="35">
        <f t="shared" si="1"/>
        <v>14.015483165243332</v>
      </c>
      <c r="L39" s="30"/>
    </row>
    <row r="40" spans="2:12" ht="33.75" outlineLevel="1" x14ac:dyDescent="0.2">
      <c r="B40" s="80" t="s">
        <v>82</v>
      </c>
      <c r="C40" s="24">
        <f>18299230.53</f>
        <v>18299230.530000001</v>
      </c>
      <c r="D40" s="24">
        <f>1769370.52</f>
        <v>1769370.52</v>
      </c>
      <c r="E40" s="24" t="s">
        <v>45</v>
      </c>
      <c r="F40" s="24" t="s">
        <v>45</v>
      </c>
      <c r="G40" s="24" t="s">
        <v>45</v>
      </c>
      <c r="H40" s="24" t="s">
        <v>45</v>
      </c>
      <c r="I40" s="24" t="s">
        <v>45</v>
      </c>
      <c r="J40" s="35">
        <f t="shared" si="0"/>
        <v>7.0855926664285134E-4</v>
      </c>
      <c r="K40" s="35">
        <f t="shared" si="1"/>
        <v>9.6690979279116167</v>
      </c>
      <c r="L40" s="30"/>
    </row>
    <row r="41" spans="2:12" outlineLevel="1" x14ac:dyDescent="0.2">
      <c r="B41" s="82" t="s">
        <v>80</v>
      </c>
      <c r="C41" s="24">
        <f>17033230.53</f>
        <v>17033230.530000001</v>
      </c>
      <c r="D41" s="24">
        <f>1605879.22</f>
        <v>1605879.22</v>
      </c>
      <c r="E41" s="24" t="s">
        <v>45</v>
      </c>
      <c r="F41" s="24" t="s">
        <v>45</v>
      </c>
      <c r="G41" s="24" t="s">
        <v>45</v>
      </c>
      <c r="H41" s="24" t="s">
        <v>45</v>
      </c>
      <c r="I41" s="24" t="s">
        <v>45</v>
      </c>
      <c r="J41" s="35">
        <f t="shared" si="0"/>
        <v>6.4308780415319345E-4</v>
      </c>
      <c r="K41" s="35">
        <f t="shared" si="1"/>
        <v>9.4279192497960036</v>
      </c>
      <c r="L41" s="30"/>
    </row>
    <row r="42" spans="2:12" ht="33.75" outlineLevel="1" x14ac:dyDescent="0.2">
      <c r="B42" s="83" t="s">
        <v>79</v>
      </c>
      <c r="C42" s="24">
        <f>30183952250.12</f>
        <v>30183952250.119999</v>
      </c>
      <c r="D42" s="24">
        <f>8731717492.99</f>
        <v>8731717492.9899998</v>
      </c>
      <c r="E42" s="24" t="s">
        <v>45</v>
      </c>
      <c r="F42" s="24" t="s">
        <v>45</v>
      </c>
      <c r="G42" s="24" t="s">
        <v>45</v>
      </c>
      <c r="H42" s="24" t="s">
        <v>45</v>
      </c>
      <c r="I42" s="24" t="s">
        <v>45</v>
      </c>
      <c r="J42" s="35">
        <f t="shared" si="0"/>
        <v>3.4966895138309138</v>
      </c>
      <c r="K42" s="35">
        <f t="shared" si="1"/>
        <v>28.928343845214261</v>
      </c>
      <c r="L42" s="30"/>
    </row>
    <row r="43" spans="2:12" outlineLevel="1" x14ac:dyDescent="0.2">
      <c r="B43" s="84" t="s">
        <v>6</v>
      </c>
      <c r="C43" s="24">
        <f>30062292564.92</f>
        <v>30062292564.919998</v>
      </c>
      <c r="D43" s="24">
        <f>8645746119.71</f>
        <v>8645746119.7099991</v>
      </c>
      <c r="E43" s="24" t="s">
        <v>45</v>
      </c>
      <c r="F43" s="24" t="s">
        <v>45</v>
      </c>
      <c r="G43" s="24" t="s">
        <v>45</v>
      </c>
      <c r="H43" s="24" t="s">
        <v>45</v>
      </c>
      <c r="I43" s="24" t="s">
        <v>45</v>
      </c>
      <c r="J43" s="35">
        <f t="shared" si="0"/>
        <v>3.462261556252217</v>
      </c>
      <c r="K43" s="35">
        <f t="shared" si="1"/>
        <v>28.759437095621941</v>
      </c>
      <c r="L43" s="30"/>
    </row>
    <row r="44" spans="2:12" ht="22.5" outlineLevel="1" x14ac:dyDescent="0.2">
      <c r="B44" s="83" t="s">
        <v>90</v>
      </c>
      <c r="C44" s="24">
        <f>2126177609.69</f>
        <v>2126177609.6900001</v>
      </c>
      <c r="D44" s="24">
        <f>1997033052.34</f>
        <v>1997033052.3399999</v>
      </c>
      <c r="E44" s="24" t="s">
        <v>45</v>
      </c>
      <c r="F44" s="24" t="s">
        <v>45</v>
      </c>
      <c r="G44" s="24" t="s">
        <v>45</v>
      </c>
      <c r="H44" s="24" t="s">
        <v>45</v>
      </c>
      <c r="I44" s="24" t="s">
        <v>45</v>
      </c>
      <c r="J44" s="35">
        <f t="shared" si="0"/>
        <v>0.79972863740691535</v>
      </c>
      <c r="K44" s="35">
        <f t="shared" si="1"/>
        <v>93.925975103800027</v>
      </c>
      <c r="L44" s="30"/>
    </row>
    <row r="45" spans="2:12" outlineLevel="1" x14ac:dyDescent="0.2">
      <c r="B45" s="84" t="s">
        <v>6</v>
      </c>
      <c r="C45" s="24">
        <f>958932.58</f>
        <v>958932.58</v>
      </c>
      <c r="D45" s="24">
        <f>1857434.58</f>
        <v>1857434.58</v>
      </c>
      <c r="E45" s="24" t="s">
        <v>45</v>
      </c>
      <c r="F45" s="24" t="s">
        <v>45</v>
      </c>
      <c r="G45" s="24" t="s">
        <v>45</v>
      </c>
      <c r="H45" s="24" t="s">
        <v>45</v>
      </c>
      <c r="I45" s="24" t="s">
        <v>45</v>
      </c>
      <c r="J45" s="35">
        <f t="shared" si="0"/>
        <v>7.4382525817253504E-4</v>
      </c>
      <c r="K45" s="35">
        <f t="shared" si="1"/>
        <v>193.69814090579757</v>
      </c>
      <c r="L45" s="30"/>
    </row>
    <row r="46" spans="2:12" outlineLevel="1" x14ac:dyDescent="0.2">
      <c r="B46" s="81" t="s">
        <v>57</v>
      </c>
      <c r="C46" s="57">
        <f>3025471338.73</f>
        <v>3025471338.73</v>
      </c>
      <c r="D46" s="57">
        <f>791917723.28</f>
        <v>791917723.27999997</v>
      </c>
      <c r="E46" s="59" t="s">
        <v>45</v>
      </c>
      <c r="F46" s="59" t="s">
        <v>45</v>
      </c>
      <c r="G46" s="59" t="s">
        <v>45</v>
      </c>
      <c r="H46" s="59" t="s">
        <v>45</v>
      </c>
      <c r="I46" s="59" t="s">
        <v>45</v>
      </c>
      <c r="J46" s="58">
        <f t="shared" si="0"/>
        <v>0.31713009508531503</v>
      </c>
      <c r="K46" s="58">
        <f t="shared" si="1"/>
        <v>26.175019843764996</v>
      </c>
      <c r="L46" s="30"/>
    </row>
    <row r="47" spans="2:12" outlineLevel="1" x14ac:dyDescent="0.2">
      <c r="B47" s="87" t="s">
        <v>58</v>
      </c>
      <c r="C47" s="23">
        <f>1484886381.56</f>
        <v>1484886381.5599999</v>
      </c>
      <c r="D47" s="23">
        <f>223768472.81</f>
        <v>223768472.81</v>
      </c>
      <c r="E47" s="23" t="s">
        <v>45</v>
      </c>
      <c r="F47" s="23" t="s">
        <v>45</v>
      </c>
      <c r="G47" s="23" t="s">
        <v>45</v>
      </c>
      <c r="H47" s="23" t="s">
        <v>45</v>
      </c>
      <c r="I47" s="23" t="s">
        <v>45</v>
      </c>
      <c r="J47" s="35">
        <f t="shared" si="0"/>
        <v>8.960996196096023E-2</v>
      </c>
      <c r="K47" s="35">
        <f t="shared" si="1"/>
        <v>15.069737024250442</v>
      </c>
      <c r="L47" s="30"/>
    </row>
    <row r="48" spans="2:12" outlineLevel="1" x14ac:dyDescent="0.2">
      <c r="B48" s="81" t="s">
        <v>70</v>
      </c>
      <c r="C48" s="57">
        <f>24306375373.95</f>
        <v>24306375373.950001</v>
      </c>
      <c r="D48" s="57">
        <f>5828260339.20001</f>
        <v>5828260339.2000103</v>
      </c>
      <c r="E48" s="59" t="s">
        <v>45</v>
      </c>
      <c r="F48" s="59" t="s">
        <v>45</v>
      </c>
      <c r="G48" s="59" t="s">
        <v>45</v>
      </c>
      <c r="H48" s="59" t="s">
        <v>45</v>
      </c>
      <c r="I48" s="59" t="s">
        <v>45</v>
      </c>
      <c r="J48" s="58">
        <f t="shared" si="0"/>
        <v>2.3339757416932518</v>
      </c>
      <c r="K48" s="58">
        <f t="shared" si="1"/>
        <v>23.978319471879637</v>
      </c>
      <c r="L48" s="30"/>
    </row>
    <row r="49" spans="1:26" outlineLevel="1" x14ac:dyDescent="0.2">
      <c r="B49" s="87" t="s">
        <v>71</v>
      </c>
      <c r="C49" s="23">
        <f>18368441503.04</f>
        <v>18368441503.040001</v>
      </c>
      <c r="D49" s="23">
        <f>3490031443.88</f>
        <v>3490031443.8800001</v>
      </c>
      <c r="E49" s="23" t="s">
        <v>45</v>
      </c>
      <c r="F49" s="23" t="s">
        <v>45</v>
      </c>
      <c r="G49" s="23" t="s">
        <v>45</v>
      </c>
      <c r="H49" s="23" t="s">
        <v>45</v>
      </c>
      <c r="I49" s="23" t="s">
        <v>45</v>
      </c>
      <c r="J49" s="35">
        <f t="shared" si="0"/>
        <v>1.3976123669315483</v>
      </c>
      <c r="K49" s="35">
        <f t="shared" si="1"/>
        <v>19.000150030705626</v>
      </c>
      <c r="L49" s="30"/>
    </row>
    <row r="50" spans="1:26" x14ac:dyDescent="0.2">
      <c r="B50" s="76" t="s">
        <v>102</v>
      </c>
      <c r="C50" s="57">
        <f>48841509492.83</f>
        <v>48841509492.830002</v>
      </c>
      <c r="D50" s="57">
        <f>28286150573.08</f>
        <v>28286150573.080002</v>
      </c>
      <c r="E50" s="59" t="s">
        <v>45</v>
      </c>
      <c r="F50" s="59" t="s">
        <v>45</v>
      </c>
      <c r="G50" s="59" t="s">
        <v>45</v>
      </c>
      <c r="H50" s="59" t="s">
        <v>45</v>
      </c>
      <c r="I50" s="59" t="s">
        <v>45</v>
      </c>
      <c r="J50" s="58">
        <f t="shared" si="0"/>
        <v>11.327426268078002</v>
      </c>
      <c r="K50" s="58">
        <f t="shared" si="1"/>
        <v>57.914161267338478</v>
      </c>
      <c r="L50" s="30"/>
    </row>
    <row r="51" spans="1:26" outlineLevel="1" x14ac:dyDescent="0.2">
      <c r="B51" s="31" t="s">
        <v>35</v>
      </c>
      <c r="C51" s="23">
        <f>3430257</f>
        <v>3430257</v>
      </c>
      <c r="D51" s="23">
        <f>0</f>
        <v>0</v>
      </c>
      <c r="E51" s="23" t="s">
        <v>45</v>
      </c>
      <c r="F51" s="23" t="s">
        <v>45</v>
      </c>
      <c r="G51" s="23" t="s">
        <v>45</v>
      </c>
      <c r="H51" s="23" t="s">
        <v>45</v>
      </c>
      <c r="I51" s="23" t="s">
        <v>45</v>
      </c>
      <c r="J51" s="35">
        <f t="shared" si="0"/>
        <v>0</v>
      </c>
      <c r="K51" s="35">
        <f t="shared" si="1"/>
        <v>0</v>
      </c>
      <c r="L51" s="30"/>
    </row>
    <row r="52" spans="1:26" ht="22.5" outlineLevel="1" x14ac:dyDescent="0.2">
      <c r="B52" s="31" t="s">
        <v>103</v>
      </c>
      <c r="C52" s="23">
        <f>2770838544.53</f>
        <v>2770838544.5300002</v>
      </c>
      <c r="D52" s="23">
        <f>1494129459.88</f>
        <v>1494129459.8800001</v>
      </c>
      <c r="E52" s="23" t="s">
        <v>45</v>
      </c>
      <c r="F52" s="23" t="s">
        <v>45</v>
      </c>
      <c r="G52" s="23" t="s">
        <v>45</v>
      </c>
      <c r="H52" s="23" t="s">
        <v>45</v>
      </c>
      <c r="I52" s="23" t="s">
        <v>45</v>
      </c>
      <c r="J52" s="35">
        <f t="shared" si="0"/>
        <v>0.59833667532906132</v>
      </c>
      <c r="K52" s="35">
        <f t="shared" si="1"/>
        <v>53.923367813314421</v>
      </c>
      <c r="L52" s="30"/>
    </row>
    <row r="53" spans="1:26" outlineLevel="1" x14ac:dyDescent="0.2">
      <c r="B53" s="87" t="s">
        <v>6</v>
      </c>
      <c r="C53" s="23">
        <f>163390401.52</f>
        <v>163390401.52000001</v>
      </c>
      <c r="D53" s="23">
        <f>17810000</f>
        <v>17810000</v>
      </c>
      <c r="E53" s="23" t="s">
        <v>45</v>
      </c>
      <c r="F53" s="23" t="s">
        <v>45</v>
      </c>
      <c r="G53" s="23" t="s">
        <v>45</v>
      </c>
      <c r="H53" s="23" t="s">
        <v>45</v>
      </c>
      <c r="I53" s="23" t="s">
        <v>45</v>
      </c>
      <c r="J53" s="35">
        <f t="shared" si="0"/>
        <v>7.1321638945974876E-3</v>
      </c>
      <c r="K53" s="35">
        <f t="shared" si="1"/>
        <v>10.900273109262139</v>
      </c>
      <c r="L53" s="30"/>
    </row>
    <row r="54" spans="1:26" s="6" customFormat="1" x14ac:dyDescent="0.2">
      <c r="A54" s="3"/>
      <c r="B54" s="21"/>
      <c r="C54" s="8"/>
      <c r="D54" s="9"/>
      <c r="E54" s="16"/>
      <c r="F54" s="16"/>
      <c r="G54" s="16"/>
      <c r="H54" s="16"/>
      <c r="I54" s="16"/>
      <c r="J54" s="10"/>
      <c r="K54" s="10"/>
      <c r="L54" s="4"/>
    </row>
    <row r="55" spans="1:26" s="6" customFormat="1" x14ac:dyDescent="0.2">
      <c r="A55" s="3"/>
      <c r="B55" s="61" t="s">
        <v>5</v>
      </c>
      <c r="C55" s="62">
        <f t="shared" ref="C55:I55" si="4">+C6</f>
        <v>467823132641.03003</v>
      </c>
      <c r="D55" s="62">
        <f t="shared" si="4"/>
        <v>249713835284.84</v>
      </c>
      <c r="E55" s="62">
        <f t="shared" si="4"/>
        <v>3573243402.9499998</v>
      </c>
      <c r="F55" s="62">
        <f t="shared" si="4"/>
        <v>450453296.69999999</v>
      </c>
      <c r="G55" s="62">
        <f t="shared" si="4"/>
        <v>55338965.520000003</v>
      </c>
      <c r="H55" s="62">
        <f t="shared" si="4"/>
        <v>150288614.74000001</v>
      </c>
      <c r="I55" s="62">
        <f t="shared" si="4"/>
        <v>4249653.92</v>
      </c>
      <c r="J55" s="63">
        <f>IF($D$55=0,"",100*$D55/$D$55)</f>
        <v>100</v>
      </c>
      <c r="K55" s="63">
        <f>IF(C55=0,"",100*D55/C55)</f>
        <v>53.377829752692108</v>
      </c>
      <c r="L55" s="4"/>
    </row>
    <row r="56" spans="1:26" s="6" customFormat="1" x14ac:dyDescent="0.2">
      <c r="A56" s="3"/>
      <c r="B56" s="54" t="s">
        <v>60</v>
      </c>
      <c r="C56" s="55">
        <f>71257720158.21</f>
        <v>71257720158.210007</v>
      </c>
      <c r="D56" s="55">
        <f>18100421831.06</f>
        <v>18100421831.060001</v>
      </c>
      <c r="E56" s="55">
        <f>0</f>
        <v>0</v>
      </c>
      <c r="F56" s="55">
        <f>0</f>
        <v>0</v>
      </c>
      <c r="G56" s="55">
        <f>0</f>
        <v>0</v>
      </c>
      <c r="H56" s="55">
        <f>0</f>
        <v>0</v>
      </c>
      <c r="I56" s="55">
        <f>0</f>
        <v>0</v>
      </c>
      <c r="J56" s="36">
        <f>IF($D$55=0,"",100*$D56/$D$55)</f>
        <v>7.2484657529741883</v>
      </c>
      <c r="K56" s="36">
        <f>IF(C56=0,"",100*D56/C56)</f>
        <v>25.401348500727398</v>
      </c>
      <c r="L56" s="4"/>
    </row>
    <row r="57" spans="1:26" s="6" customFormat="1" x14ac:dyDescent="0.2">
      <c r="A57" s="3"/>
      <c r="B57" s="54" t="s">
        <v>61</v>
      </c>
      <c r="C57" s="55">
        <f>+C55-C56</f>
        <v>396565412482.82001</v>
      </c>
      <c r="D57" s="55">
        <f t="shared" ref="D57:I57" si="5">+D55-D56</f>
        <v>231613413453.78</v>
      </c>
      <c r="E57" s="55">
        <f t="shared" si="5"/>
        <v>3573243402.9499998</v>
      </c>
      <c r="F57" s="55">
        <f t="shared" si="5"/>
        <v>450453296.69999999</v>
      </c>
      <c r="G57" s="55">
        <f t="shared" si="5"/>
        <v>55338965.520000003</v>
      </c>
      <c r="H57" s="55">
        <f t="shared" si="5"/>
        <v>150288614.74000001</v>
      </c>
      <c r="I57" s="55">
        <f t="shared" si="5"/>
        <v>4249653.92</v>
      </c>
      <c r="J57" s="36">
        <f>IF($D$55=0,"",100*$D57/$D$55)</f>
        <v>92.751534247025816</v>
      </c>
      <c r="K57" s="36">
        <f>IF(C57=0,"",100*D57/C57)</f>
        <v>58.404844740163504</v>
      </c>
      <c r="L57" s="4"/>
    </row>
    <row r="58" spans="1:26" s="6" customFormat="1" x14ac:dyDescent="0.2">
      <c r="A58" s="3"/>
      <c r="B58" s="91" t="s">
        <v>91</v>
      </c>
      <c r="C58" s="91"/>
      <c r="D58" s="91"/>
      <c r="E58" s="91"/>
      <c r="F58" s="91"/>
      <c r="G58" s="16"/>
      <c r="H58" s="16"/>
      <c r="I58" s="16"/>
      <c r="J58" s="16"/>
      <c r="K58" s="10"/>
      <c r="L58" s="10"/>
      <c r="M58" s="4"/>
    </row>
    <row r="59" spans="1:26" ht="20.25" x14ac:dyDescent="0.2">
      <c r="B59" s="86" t="str">
        <f>CONCATENATE("Informacja z wykonania budżetów jednostek samorządu terytorialnego za ",$D$129," ",$C$130," roku")</f>
        <v>Informacja z wykonania budżetów jednostek samorządu terytorialnego za II Kwartały 2025 roku</v>
      </c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</row>
    <row r="60" spans="1:26" s="6" customFormat="1" x14ac:dyDescent="0.2">
      <c r="B60" s="7"/>
      <c r="C60" s="8"/>
      <c r="D60" s="9"/>
      <c r="E60" s="9"/>
      <c r="F60" s="5"/>
      <c r="G60" s="5"/>
      <c r="H60" s="5"/>
      <c r="I60" s="5"/>
      <c r="J60" s="5"/>
      <c r="K60" s="10"/>
      <c r="L60" s="10"/>
      <c r="M60" s="4"/>
    </row>
    <row r="61" spans="1:26" ht="35.450000000000003" customHeight="1" x14ac:dyDescent="0.2">
      <c r="B61" s="117" t="s">
        <v>0</v>
      </c>
      <c r="C61" s="105" t="s">
        <v>41</v>
      </c>
      <c r="D61" s="105" t="s">
        <v>43</v>
      </c>
      <c r="E61" s="105" t="s">
        <v>42</v>
      </c>
      <c r="F61" s="105" t="s">
        <v>12</v>
      </c>
      <c r="G61" s="105"/>
      <c r="H61" s="105"/>
      <c r="I61" s="131" t="s">
        <v>72</v>
      </c>
      <c r="J61" s="131" t="s">
        <v>2</v>
      </c>
      <c r="K61" s="128" t="s">
        <v>18</v>
      </c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x14ac:dyDescent="0.2">
      <c r="B62" s="117"/>
      <c r="C62" s="105"/>
      <c r="D62" s="105"/>
      <c r="E62" s="105"/>
      <c r="F62" s="122" t="s">
        <v>44</v>
      </c>
      <c r="G62" s="106" t="s">
        <v>27</v>
      </c>
      <c r="H62" s="107"/>
      <c r="I62" s="132"/>
      <c r="J62" s="132"/>
      <c r="K62" s="129"/>
      <c r="L62" s="12"/>
      <c r="M62" s="13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35.25" x14ac:dyDescent="0.2">
      <c r="B63" s="117"/>
      <c r="C63" s="105"/>
      <c r="D63" s="105"/>
      <c r="E63" s="105"/>
      <c r="F63" s="107"/>
      <c r="G63" s="18" t="s">
        <v>39</v>
      </c>
      <c r="H63" s="18" t="s">
        <v>40</v>
      </c>
      <c r="I63" s="133"/>
      <c r="J63" s="133"/>
      <c r="K63" s="130"/>
      <c r="L63" s="12"/>
      <c r="M63" s="11"/>
      <c r="N63" s="22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x14ac:dyDescent="0.2">
      <c r="B64" s="117"/>
      <c r="C64" s="119" t="s">
        <v>64</v>
      </c>
      <c r="D64" s="120"/>
      <c r="E64" s="120"/>
      <c r="F64" s="120"/>
      <c r="G64" s="120"/>
      <c r="H64" s="121"/>
      <c r="I64" s="71"/>
      <c r="J64" s="118" t="s">
        <v>4</v>
      </c>
      <c r="K64" s="118"/>
      <c r="N64" s="22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2:26" x14ac:dyDescent="0.2">
      <c r="B65" s="17">
        <v>1</v>
      </c>
      <c r="C65" s="19">
        <v>2</v>
      </c>
      <c r="D65" s="19">
        <v>3</v>
      </c>
      <c r="E65" s="19">
        <v>4</v>
      </c>
      <c r="F65" s="17">
        <v>5</v>
      </c>
      <c r="G65" s="17">
        <v>6</v>
      </c>
      <c r="H65" s="19">
        <v>7</v>
      </c>
      <c r="I65" s="19">
        <v>8</v>
      </c>
      <c r="J65" s="17">
        <v>9</v>
      </c>
      <c r="K65" s="19">
        <v>10</v>
      </c>
      <c r="M65" s="11"/>
      <c r="N65" s="22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2:26" ht="25.5" x14ac:dyDescent="0.2">
      <c r="B66" s="56" t="s">
        <v>48</v>
      </c>
      <c r="C66" s="62">
        <f>510000130199.72</f>
        <v>510000130199.71997</v>
      </c>
      <c r="D66" s="62">
        <f>210174706616.15</f>
        <v>210174706616.14999</v>
      </c>
      <c r="E66" s="62">
        <f>374120090345.27</f>
        <v>374120090345.27002</v>
      </c>
      <c r="F66" s="62">
        <f>11647813191.34</f>
        <v>11647813191.34</v>
      </c>
      <c r="G66" s="62">
        <f>12456466.25</f>
        <v>12456466.25</v>
      </c>
      <c r="H66" s="62">
        <f>23002323.41</f>
        <v>23002323.41</v>
      </c>
      <c r="I66" s="68">
        <f>0</f>
        <v>0</v>
      </c>
      <c r="J66" s="50">
        <f>IF($D$66=0,"",100*$D66/$D$66)</f>
        <v>100</v>
      </c>
      <c r="K66" s="50">
        <f>IF(C66=0,"",100*D66/C66)</f>
        <v>41.21071626664957</v>
      </c>
    </row>
    <row r="67" spans="2:26" x14ac:dyDescent="0.2">
      <c r="B67" s="75" t="s">
        <v>14</v>
      </c>
      <c r="C67" s="27">
        <f>130228600399.96</f>
        <v>130228600399.96001</v>
      </c>
      <c r="D67" s="27">
        <f>28144866490.85</f>
        <v>28144866490.849998</v>
      </c>
      <c r="E67" s="27">
        <f>74037356427.1799</f>
        <v>74037356427.179901</v>
      </c>
      <c r="F67" s="27">
        <f>3299050144.75</f>
        <v>3299050144.75</v>
      </c>
      <c r="G67" s="27">
        <f>1313150.19</f>
        <v>1313150.19</v>
      </c>
      <c r="H67" s="27">
        <f>5381287.75</f>
        <v>5381287.75</v>
      </c>
      <c r="I67" s="69">
        <f>0</f>
        <v>0</v>
      </c>
      <c r="J67" s="50">
        <f t="shared" ref="J67:J75" si="6">IF($D$66=0,"",100*$D67/$D$66)</f>
        <v>13.391176770976553</v>
      </c>
      <c r="K67" s="50">
        <f t="shared" ref="K67:K75" si="7">IF(C67=0,"",100*D67/C67)</f>
        <v>21.611893550580341</v>
      </c>
    </row>
    <row r="68" spans="2:26" outlineLevel="1" x14ac:dyDescent="0.2">
      <c r="B68" s="31" t="s">
        <v>13</v>
      </c>
      <c r="C68" s="23">
        <f>125100830547.19</f>
        <v>125100830547.19</v>
      </c>
      <c r="D68" s="23">
        <f>25808912931.69</f>
        <v>25808912931.689999</v>
      </c>
      <c r="E68" s="23">
        <f>71268013139.12</f>
        <v>71268013139.119995</v>
      </c>
      <c r="F68" s="23">
        <f>3257781365.39</f>
        <v>3257781365.3899999</v>
      </c>
      <c r="G68" s="23">
        <f>1313150.19</f>
        <v>1313150.19</v>
      </c>
      <c r="H68" s="23">
        <f>5381287.75</f>
        <v>5381287.75</v>
      </c>
      <c r="I68" s="70">
        <f>0</f>
        <v>0</v>
      </c>
      <c r="J68" s="50">
        <f t="shared" si="6"/>
        <v>12.279742575697176</v>
      </c>
      <c r="K68" s="50">
        <f t="shared" si="7"/>
        <v>20.63048887749348</v>
      </c>
    </row>
    <row r="69" spans="2:26" ht="25.5" x14ac:dyDescent="0.2">
      <c r="B69" s="76" t="s">
        <v>49</v>
      </c>
      <c r="C69" s="62">
        <f t="shared" ref="C69:I69" si="8">C66-C67</f>
        <v>379771529799.75995</v>
      </c>
      <c r="D69" s="62">
        <f t="shared" si="8"/>
        <v>182029840125.29999</v>
      </c>
      <c r="E69" s="62">
        <f t="shared" si="8"/>
        <v>300082733918.09009</v>
      </c>
      <c r="F69" s="62">
        <f t="shared" si="8"/>
        <v>8348763046.5900002</v>
      </c>
      <c r="G69" s="62">
        <f t="shared" si="8"/>
        <v>11143316.060000001</v>
      </c>
      <c r="H69" s="62">
        <f t="shared" si="8"/>
        <v>17621035.66</v>
      </c>
      <c r="I69" s="68">
        <f t="shared" si="8"/>
        <v>0</v>
      </c>
      <c r="J69" s="50">
        <f t="shared" si="6"/>
        <v>86.608823229023443</v>
      </c>
      <c r="K69" s="50">
        <f t="shared" si="7"/>
        <v>47.931407660094443</v>
      </c>
    </row>
    <row r="70" spans="2:26" outlineLevel="1" x14ac:dyDescent="0.2">
      <c r="B70" s="31" t="s">
        <v>87</v>
      </c>
      <c r="C70" s="23">
        <f>177335451211.99</f>
        <v>177335451211.98999</v>
      </c>
      <c r="D70" s="23">
        <f>89922501893.0002</f>
        <v>89922501893.000198</v>
      </c>
      <c r="E70" s="23">
        <f>157058264765.821</f>
        <v>157058264765.82101</v>
      </c>
      <c r="F70" s="23">
        <f>3846146570.96</f>
        <v>3846146570.96</v>
      </c>
      <c r="G70" s="23">
        <f>744515.2</f>
        <v>744515.2</v>
      </c>
      <c r="H70" s="23">
        <f>1722825.09</f>
        <v>1722825.09</v>
      </c>
      <c r="I70" s="70">
        <f>0</f>
        <v>0</v>
      </c>
      <c r="J70" s="50">
        <f t="shared" si="6"/>
        <v>42.784644898888359</v>
      </c>
      <c r="K70" s="50">
        <f t="shared" si="7"/>
        <v>50.707572162491765</v>
      </c>
    </row>
    <row r="71" spans="2:26" outlineLevel="1" x14ac:dyDescent="0.2">
      <c r="B71" s="31" t="s">
        <v>38</v>
      </c>
      <c r="C71" s="23">
        <f>51706252605.57</f>
        <v>51706252605.57</v>
      </c>
      <c r="D71" s="23">
        <f>26415868014.19</f>
        <v>26415868014.189999</v>
      </c>
      <c r="E71" s="23">
        <f>39723132650.32</f>
        <v>39723132650.32</v>
      </c>
      <c r="F71" s="23">
        <f>447485419.85</f>
        <v>447485419.85000002</v>
      </c>
      <c r="G71" s="23">
        <f>0</f>
        <v>0</v>
      </c>
      <c r="H71" s="23">
        <f>82500</f>
        <v>82500</v>
      </c>
      <c r="I71" s="70">
        <f>0</f>
        <v>0</v>
      </c>
      <c r="J71" s="50">
        <f t="shared" si="6"/>
        <v>12.568528553930278</v>
      </c>
      <c r="K71" s="50">
        <f t="shared" si="7"/>
        <v>51.08834363940035</v>
      </c>
    </row>
    <row r="72" spans="2:26" outlineLevel="1" x14ac:dyDescent="0.2">
      <c r="B72" s="31" t="s">
        <v>37</v>
      </c>
      <c r="C72" s="23">
        <f>7374158662.86</f>
        <v>7374158662.8599997</v>
      </c>
      <c r="D72" s="23">
        <f>3347859768.55</f>
        <v>3347859768.5500002</v>
      </c>
      <c r="E72" s="23">
        <f>4939035634.19</f>
        <v>4939035634.1899996</v>
      </c>
      <c r="F72" s="23">
        <f>183522106.4</f>
        <v>183522106.40000001</v>
      </c>
      <c r="G72" s="23">
        <f>0</f>
        <v>0</v>
      </c>
      <c r="H72" s="23">
        <f>0</f>
        <v>0</v>
      </c>
      <c r="I72" s="70">
        <f>0</f>
        <v>0</v>
      </c>
      <c r="J72" s="50">
        <f t="shared" si="6"/>
        <v>1.592893751322952</v>
      </c>
      <c r="K72" s="50">
        <f t="shared" si="7"/>
        <v>45.399887927710566</v>
      </c>
    </row>
    <row r="73" spans="2:26" outlineLevel="1" x14ac:dyDescent="0.2">
      <c r="B73" s="31" t="s">
        <v>55</v>
      </c>
      <c r="C73" s="23">
        <f>459459852.29</f>
        <v>459459852.29000002</v>
      </c>
      <c r="D73" s="23">
        <f>20117574.91</f>
        <v>20117574.91</v>
      </c>
      <c r="E73" s="23">
        <f>51121918.5</f>
        <v>51121918.5</v>
      </c>
      <c r="F73" s="23">
        <f>0</f>
        <v>0</v>
      </c>
      <c r="G73" s="23">
        <f>0</f>
        <v>0</v>
      </c>
      <c r="H73" s="23">
        <f>0</f>
        <v>0</v>
      </c>
      <c r="I73" s="70">
        <f>0</f>
        <v>0</v>
      </c>
      <c r="J73" s="50">
        <f t="shared" si="6"/>
        <v>9.5718344199911213E-3</v>
      </c>
      <c r="K73" s="50">
        <f t="shared" si="7"/>
        <v>4.3785272662522576</v>
      </c>
    </row>
    <row r="74" spans="2:26" outlineLevel="1" x14ac:dyDescent="0.2">
      <c r="B74" s="31" t="s">
        <v>56</v>
      </c>
      <c r="C74" s="23">
        <f>23599382126.45</f>
        <v>23599382126.450001</v>
      </c>
      <c r="D74" s="23">
        <f>13469607126.01</f>
        <v>13469607126.01</v>
      </c>
      <c r="E74" s="23">
        <f>19106395041.23</f>
        <v>19106395041.23</v>
      </c>
      <c r="F74" s="23">
        <f>252459464.36</f>
        <v>252459464.36000001</v>
      </c>
      <c r="G74" s="23">
        <f>224301.65</f>
        <v>224301.65</v>
      </c>
      <c r="H74" s="23">
        <f>113671.59</f>
        <v>113671.59</v>
      </c>
      <c r="I74" s="70">
        <f>0</f>
        <v>0</v>
      </c>
      <c r="J74" s="50">
        <f t="shared" si="6"/>
        <v>6.4087669457819452</v>
      </c>
      <c r="K74" s="50">
        <f t="shared" si="7"/>
        <v>57.076100780254627</v>
      </c>
    </row>
    <row r="75" spans="2:26" outlineLevel="1" x14ac:dyDescent="0.2">
      <c r="B75" s="31" t="s">
        <v>36</v>
      </c>
      <c r="C75" s="23">
        <f t="shared" ref="C75:I75" si="9">C69-C70-C71-C72-C73-C74</f>
        <v>119296825340.59996</v>
      </c>
      <c r="D75" s="23">
        <f t="shared" si="9"/>
        <v>48853885748.639778</v>
      </c>
      <c r="E75" s="23">
        <f t="shared" si="9"/>
        <v>79204783908.029068</v>
      </c>
      <c r="F75" s="23">
        <f t="shared" si="9"/>
        <v>3619149485.02</v>
      </c>
      <c r="G75" s="23">
        <f t="shared" si="9"/>
        <v>10174499.210000001</v>
      </c>
      <c r="H75" s="23">
        <f t="shared" si="9"/>
        <v>15702038.98</v>
      </c>
      <c r="I75" s="70">
        <f t="shared" si="9"/>
        <v>0</v>
      </c>
      <c r="J75" s="50">
        <f t="shared" si="6"/>
        <v>23.244417244679909</v>
      </c>
      <c r="K75" s="50">
        <f t="shared" si="7"/>
        <v>40.951538826920874</v>
      </c>
    </row>
    <row r="76" spans="2:26" x14ac:dyDescent="0.2">
      <c r="B76" s="20" t="s">
        <v>15</v>
      </c>
      <c r="C76" s="27">
        <f>C6-C66</f>
        <v>-42176997558.689941</v>
      </c>
      <c r="D76" s="27">
        <f>D6-D66</f>
        <v>39539128668.690002</v>
      </c>
      <c r="E76" s="29"/>
      <c r="F76" s="29"/>
      <c r="G76" s="14"/>
    </row>
    <row r="77" spans="2:26" ht="25.5" x14ac:dyDescent="0.2">
      <c r="B77" s="95" t="s">
        <v>122</v>
      </c>
      <c r="C77" s="51">
        <f>+C57-C69</f>
        <v>16793882683.060059</v>
      </c>
      <c r="D77" s="51">
        <f>+D57-D69</f>
        <v>49583573328.480011</v>
      </c>
      <c r="E77" s="29"/>
      <c r="F77" s="29"/>
      <c r="G77" s="14"/>
    </row>
    <row r="78" spans="2:26" outlineLevel="1" x14ac:dyDescent="0.2">
      <c r="B78" s="93"/>
      <c r="C78" s="94"/>
      <c r="D78" s="94"/>
      <c r="E78" s="29"/>
      <c r="F78" s="29"/>
      <c r="G78" s="14"/>
    </row>
    <row r="79" spans="2:26" outlineLevel="1" x14ac:dyDescent="0.2">
      <c r="B79" s="93"/>
      <c r="C79" s="94"/>
      <c r="D79" s="94"/>
      <c r="E79" s="29"/>
      <c r="F79" s="29"/>
      <c r="G79" s="14"/>
    </row>
    <row r="80" spans="2:26" outlineLevel="1" x14ac:dyDescent="0.2">
      <c r="B80" s="103" t="s">
        <v>118</v>
      </c>
      <c r="C80" s="104" t="s">
        <v>104</v>
      </c>
      <c r="D80" s="104"/>
      <c r="E80" s="104" t="s">
        <v>105</v>
      </c>
      <c r="F80" s="104"/>
      <c r="G80" s="101" t="s">
        <v>123</v>
      </c>
    </row>
    <row r="81" spans="2:13" outlineLevel="1" x14ac:dyDescent="0.2">
      <c r="B81" s="103"/>
      <c r="C81" s="98" t="s">
        <v>106</v>
      </c>
      <c r="D81" s="98" t="s">
        <v>107</v>
      </c>
      <c r="E81" s="98" t="s">
        <v>106</v>
      </c>
      <c r="F81" s="98" t="s">
        <v>107</v>
      </c>
      <c r="G81" s="98" t="s">
        <v>106</v>
      </c>
    </row>
    <row r="82" spans="2:13" outlineLevel="1" x14ac:dyDescent="0.2">
      <c r="B82" s="99" t="s">
        <v>119</v>
      </c>
      <c r="C82" s="102">
        <f>192</f>
        <v>192</v>
      </c>
      <c r="D82" s="96">
        <f>342957343.81</f>
        <v>342957343.81</v>
      </c>
      <c r="E82" s="102">
        <f>2610</f>
        <v>2610</v>
      </c>
      <c r="F82" s="96">
        <f>+-42519954902.4998</f>
        <v>-42519954902.499802</v>
      </c>
      <c r="G82" s="102">
        <f>7</f>
        <v>7</v>
      </c>
    </row>
    <row r="83" spans="2:13" outlineLevel="1" x14ac:dyDescent="0.2">
      <c r="B83" s="99" t="s">
        <v>120</v>
      </c>
      <c r="C83" s="102">
        <f>2652</f>
        <v>2652</v>
      </c>
      <c r="D83" s="96">
        <f>40047362560.46</f>
        <v>40047362560.459999</v>
      </c>
      <c r="E83" s="102">
        <f>157</f>
        <v>157</v>
      </c>
      <c r="F83" s="96">
        <f>+-508233891.77</f>
        <v>-508233891.76999998</v>
      </c>
      <c r="G83" s="102">
        <f>0</f>
        <v>0</v>
      </c>
    </row>
    <row r="84" spans="2:13" outlineLevel="1" x14ac:dyDescent="0.2">
      <c r="B84" s="100"/>
      <c r="C84" s="100"/>
      <c r="D84" s="100"/>
      <c r="E84" s="100"/>
      <c r="F84" s="100"/>
      <c r="G84" s="100"/>
    </row>
    <row r="85" spans="2:13" outlineLevel="1" x14ac:dyDescent="0.2">
      <c r="B85" s="103" t="s">
        <v>121</v>
      </c>
      <c r="C85" s="104" t="s">
        <v>104</v>
      </c>
      <c r="D85" s="104"/>
      <c r="E85" s="104" t="s">
        <v>105</v>
      </c>
      <c r="F85" s="104"/>
      <c r="G85" s="101" t="s">
        <v>123</v>
      </c>
    </row>
    <row r="86" spans="2:13" outlineLevel="1" x14ac:dyDescent="0.2">
      <c r="B86" s="103"/>
      <c r="C86" s="98" t="s">
        <v>106</v>
      </c>
      <c r="D86" s="98" t="s">
        <v>107</v>
      </c>
      <c r="E86" s="98" t="s">
        <v>106</v>
      </c>
      <c r="F86" s="98" t="s">
        <v>107</v>
      </c>
      <c r="G86" s="98" t="s">
        <v>106</v>
      </c>
    </row>
    <row r="87" spans="2:13" outlineLevel="1" x14ac:dyDescent="0.2">
      <c r="B87" s="99" t="s">
        <v>119</v>
      </c>
      <c r="C87" s="102">
        <f>2321</f>
        <v>2321</v>
      </c>
      <c r="D87" s="96">
        <f>18682615420.1</f>
        <v>18682615420.099998</v>
      </c>
      <c r="E87" s="102">
        <f>487</f>
        <v>487</v>
      </c>
      <c r="F87" s="96">
        <f>+-1888732737.04</f>
        <v>-1888732737.04</v>
      </c>
      <c r="G87" s="102">
        <f>1</f>
        <v>1</v>
      </c>
    </row>
    <row r="88" spans="2:13" outlineLevel="1" x14ac:dyDescent="0.2">
      <c r="B88" s="99" t="s">
        <v>120</v>
      </c>
      <c r="C88" s="102">
        <f>2806</f>
        <v>2806</v>
      </c>
      <c r="D88" s="96">
        <f>49597076762.53</f>
        <v>49597076762.529999</v>
      </c>
      <c r="E88" s="102">
        <f>3</f>
        <v>3</v>
      </c>
      <c r="F88" s="96">
        <f>+-13503434.05</f>
        <v>-13503434.050000001</v>
      </c>
      <c r="G88" s="102">
        <f>0</f>
        <v>0</v>
      </c>
    </row>
    <row r="89" spans="2:13" x14ac:dyDescent="0.2">
      <c r="B89" s="52"/>
      <c r="C89" s="53"/>
      <c r="D89" s="53"/>
      <c r="E89" s="53"/>
      <c r="F89" s="2"/>
      <c r="G89" s="2"/>
      <c r="H89" s="2"/>
      <c r="I89" s="2"/>
      <c r="L89" s="11"/>
      <c r="M89" s="11"/>
    </row>
    <row r="90" spans="2:13" x14ac:dyDescent="0.2">
      <c r="B90" s="89" t="s">
        <v>92</v>
      </c>
      <c r="C90" s="53"/>
      <c r="D90" s="53"/>
      <c r="E90" s="53"/>
      <c r="F90" s="2"/>
      <c r="G90" s="2"/>
      <c r="H90" s="2"/>
      <c r="I90" s="2"/>
      <c r="L90" s="11"/>
      <c r="M90" s="11"/>
    </row>
    <row r="91" spans="2:13" ht="25.5" x14ac:dyDescent="0.2">
      <c r="B91" s="90" t="s">
        <v>59</v>
      </c>
      <c r="C91" s="62">
        <f>36107570817.1101</f>
        <v>36107570817.1101</v>
      </c>
      <c r="D91" s="62">
        <f>7239809719.74999</f>
        <v>7239809719.7499905</v>
      </c>
      <c r="E91" s="62">
        <f>18144229218.84</f>
        <v>18144229218.84</v>
      </c>
      <c r="F91" s="62">
        <f>572123223.34</f>
        <v>572123223.34000003</v>
      </c>
      <c r="G91" s="62">
        <f>205442.95</f>
        <v>205442.95</v>
      </c>
      <c r="H91" s="62">
        <f>531355.03</f>
        <v>531355.03</v>
      </c>
      <c r="I91" s="68">
        <f>0</f>
        <v>0</v>
      </c>
      <c r="J91" s="50">
        <f>IF($D$91=0,"",100*$D91/$D$91)</f>
        <v>100</v>
      </c>
      <c r="K91" s="50">
        <f>IF(C91=0,"",100*D91/C91)</f>
        <v>20.050669585114544</v>
      </c>
      <c r="L91" s="11"/>
    </row>
    <row r="92" spans="2:13" x14ac:dyDescent="0.2">
      <c r="B92" s="54" t="s">
        <v>62</v>
      </c>
      <c r="C92" s="64">
        <f>26617225857.73</f>
        <v>26617225857.73</v>
      </c>
      <c r="D92" s="64">
        <f>4524780369.87</f>
        <v>4524780369.8699999</v>
      </c>
      <c r="E92" s="64">
        <f>13213879395.99</f>
        <v>13213879395.99</v>
      </c>
      <c r="F92" s="64">
        <f>510836546.35</f>
        <v>510836546.35000002</v>
      </c>
      <c r="G92" s="64">
        <f>205442.95</f>
        <v>205442.95</v>
      </c>
      <c r="H92" s="64">
        <f>530059.03</f>
        <v>530059.03</v>
      </c>
      <c r="I92" s="73">
        <f>0</f>
        <v>0</v>
      </c>
      <c r="J92" s="50">
        <f>IF($D$91=0,"",100*$D92/$D$91)</f>
        <v>62.498609010766273</v>
      </c>
      <c r="K92" s="50">
        <f>IF(C92=0,"",100*D92/C92)</f>
        <v>16.99944387163076</v>
      </c>
      <c r="L92" s="11"/>
    </row>
    <row r="93" spans="2:13" x14ac:dyDescent="0.2">
      <c r="B93" s="54" t="s">
        <v>63</v>
      </c>
      <c r="C93" s="64">
        <f t="shared" ref="C93:I93" si="10">C91-C92</f>
        <v>9490344959.3801003</v>
      </c>
      <c r="D93" s="64">
        <f t="shared" si="10"/>
        <v>2715029349.8799906</v>
      </c>
      <c r="E93" s="64">
        <f t="shared" si="10"/>
        <v>4930349822.8500004</v>
      </c>
      <c r="F93" s="64">
        <f t="shared" si="10"/>
        <v>61286676.99000001</v>
      </c>
      <c r="G93" s="64">
        <f t="shared" si="10"/>
        <v>0</v>
      </c>
      <c r="H93" s="64">
        <f t="shared" si="10"/>
        <v>1296</v>
      </c>
      <c r="I93" s="73">
        <f t="shared" si="10"/>
        <v>0</v>
      </c>
      <c r="J93" s="50">
        <f>IF($D$91=0,"",100*$D93/$D$91)</f>
        <v>37.501390989233727</v>
      </c>
      <c r="K93" s="50">
        <f>IF(C93=0,"",100*D93/C93)</f>
        <v>28.608331535899548</v>
      </c>
    </row>
    <row r="94" spans="2:13" ht="20.25" x14ac:dyDescent="0.2">
      <c r="B94" s="86" t="str">
        <f>CONCATENATE("Informacja z wykonania budżetów jednostek samorządu terytorialnego za ",$D$129," ",$C$130," roku")</f>
        <v>Informacja z wykonania budżetów jednostek samorządu terytorialnego za II Kwartały 2025 roku</v>
      </c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</row>
    <row r="95" spans="2:13" x14ac:dyDescent="0.2">
      <c r="B95" s="41" t="s">
        <v>16</v>
      </c>
      <c r="C95" s="72" t="s">
        <v>17</v>
      </c>
      <c r="D95" s="72" t="s">
        <v>1</v>
      </c>
      <c r="E95" s="108" t="s">
        <v>45</v>
      </c>
      <c r="F95" s="109"/>
      <c r="G95" s="109"/>
      <c r="H95" s="109"/>
      <c r="I95" s="110"/>
      <c r="J95" s="19" t="s">
        <v>22</v>
      </c>
      <c r="K95" s="19" t="s">
        <v>23</v>
      </c>
    </row>
    <row r="96" spans="2:13" x14ac:dyDescent="0.2">
      <c r="B96" s="41"/>
      <c r="C96" s="122" t="s">
        <v>64</v>
      </c>
      <c r="D96" s="123"/>
      <c r="E96" s="111"/>
      <c r="F96" s="112"/>
      <c r="G96" s="112"/>
      <c r="H96" s="112"/>
      <c r="I96" s="113"/>
      <c r="J96" s="126" t="s">
        <v>4</v>
      </c>
      <c r="K96" s="127"/>
    </row>
    <row r="97" spans="2:11" x14ac:dyDescent="0.2">
      <c r="B97" s="39">
        <v>1</v>
      </c>
      <c r="C97" s="72">
        <v>2</v>
      </c>
      <c r="D97" s="72">
        <v>3</v>
      </c>
      <c r="E97" s="114"/>
      <c r="F97" s="115"/>
      <c r="G97" s="115"/>
      <c r="H97" s="115"/>
      <c r="I97" s="116"/>
      <c r="J97" s="40">
        <v>4</v>
      </c>
      <c r="K97" s="40">
        <v>5</v>
      </c>
    </row>
    <row r="98" spans="2:11" ht="25.5" x14ac:dyDescent="0.2">
      <c r="B98" s="38" t="s">
        <v>50</v>
      </c>
      <c r="C98" s="43">
        <f>56283635911.07</f>
        <v>56283635911.07</v>
      </c>
      <c r="D98" s="43">
        <f>43816061766.35</f>
        <v>43816061766.349998</v>
      </c>
      <c r="E98" s="43" t="s">
        <v>45</v>
      </c>
      <c r="F98" s="43" t="s">
        <v>45</v>
      </c>
      <c r="G98" s="43" t="s">
        <v>45</v>
      </c>
      <c r="H98" s="43" t="s">
        <v>45</v>
      </c>
      <c r="I98" s="43" t="s">
        <v>45</v>
      </c>
      <c r="J98" s="42">
        <f>IF($D$98=0,"",100*$D98/$D$98)</f>
        <v>100</v>
      </c>
      <c r="K98" s="37">
        <f t="shared" ref="K98:K113" si="11">IF(C98=0,"",100*D98/C98)</f>
        <v>77.848669612568784</v>
      </c>
    </row>
    <row r="99" spans="2:11" ht="22.5" x14ac:dyDescent="0.2">
      <c r="B99" s="77" t="s">
        <v>93</v>
      </c>
      <c r="C99" s="44">
        <f>29222323759.74</f>
        <v>29222323759.740002</v>
      </c>
      <c r="D99" s="44">
        <f>1843120683.03</f>
        <v>1843120683.03</v>
      </c>
      <c r="E99" s="43" t="s">
        <v>45</v>
      </c>
      <c r="F99" s="43" t="s">
        <v>45</v>
      </c>
      <c r="G99" s="43" t="s">
        <v>45</v>
      </c>
      <c r="H99" s="43" t="s">
        <v>45</v>
      </c>
      <c r="I99" s="43" t="s">
        <v>45</v>
      </c>
      <c r="J99" s="48">
        <f t="shared" ref="J99:J108" si="12">IF($D$98=0,"",100*$D99/$D$98)</f>
        <v>4.206495537774428</v>
      </c>
      <c r="K99" s="49">
        <f t="shared" si="11"/>
        <v>6.3072351746690751</v>
      </c>
    </row>
    <row r="100" spans="2:11" x14ac:dyDescent="0.2">
      <c r="B100" s="78" t="s">
        <v>73</v>
      </c>
      <c r="C100" s="66">
        <f>2518576067.79</f>
        <v>2518576067.79</v>
      </c>
      <c r="D100" s="66">
        <f>91610800</f>
        <v>91610800</v>
      </c>
      <c r="E100" s="43" t="s">
        <v>45</v>
      </c>
      <c r="F100" s="43" t="s">
        <v>45</v>
      </c>
      <c r="G100" s="43" t="s">
        <v>45</v>
      </c>
      <c r="H100" s="43" t="s">
        <v>45</v>
      </c>
      <c r="I100" s="43" t="s">
        <v>45</v>
      </c>
      <c r="J100" s="67">
        <f t="shared" si="12"/>
        <v>0.20908040637818245</v>
      </c>
      <c r="K100" s="65">
        <f t="shared" si="11"/>
        <v>3.6374045307429066</v>
      </c>
    </row>
    <row r="101" spans="2:11" x14ac:dyDescent="0.2">
      <c r="B101" s="32" t="s">
        <v>74</v>
      </c>
      <c r="C101" s="66">
        <f>424501013.73</f>
        <v>424501013.73000002</v>
      </c>
      <c r="D101" s="66">
        <f>80450317.21</f>
        <v>80450317.209999993</v>
      </c>
      <c r="E101" s="43" t="s">
        <v>45</v>
      </c>
      <c r="F101" s="43" t="s">
        <v>45</v>
      </c>
      <c r="G101" s="43" t="s">
        <v>45</v>
      </c>
      <c r="H101" s="43" t="s">
        <v>45</v>
      </c>
      <c r="I101" s="43" t="s">
        <v>45</v>
      </c>
      <c r="J101" s="67">
        <f t="shared" si="12"/>
        <v>0.18360919253538319</v>
      </c>
      <c r="K101" s="65">
        <f t="shared" si="11"/>
        <v>18.951737359376409</v>
      </c>
    </row>
    <row r="102" spans="2:11" ht="33.75" x14ac:dyDescent="0.2">
      <c r="B102" s="32" t="s">
        <v>83</v>
      </c>
      <c r="C102" s="66">
        <f>6014911560.52</f>
        <v>6014911560.5200005</v>
      </c>
      <c r="D102" s="66">
        <f>11964392281.7</f>
        <v>11964392281.700001</v>
      </c>
      <c r="E102" s="43" t="s">
        <v>45</v>
      </c>
      <c r="F102" s="43" t="s">
        <v>45</v>
      </c>
      <c r="G102" s="43" t="s">
        <v>45</v>
      </c>
      <c r="H102" s="43" t="s">
        <v>45</v>
      </c>
      <c r="I102" s="43" t="s">
        <v>45</v>
      </c>
      <c r="J102" s="67">
        <f t="shared" si="12"/>
        <v>27.305950830315044</v>
      </c>
      <c r="K102" s="65">
        <f t="shared" si="11"/>
        <v>198.91218950301001</v>
      </c>
    </row>
    <row r="103" spans="2:11" ht="22.5" x14ac:dyDescent="0.2">
      <c r="B103" s="32" t="s">
        <v>84</v>
      </c>
      <c r="C103" s="66">
        <f>4531055318.92</f>
        <v>4531055318.9200001</v>
      </c>
      <c r="D103" s="66">
        <f>5823849384.71</f>
        <v>5823849384.71</v>
      </c>
      <c r="E103" s="43" t="s">
        <v>45</v>
      </c>
      <c r="F103" s="43" t="s">
        <v>45</v>
      </c>
      <c r="G103" s="43" t="s">
        <v>45</v>
      </c>
      <c r="H103" s="43" t="s">
        <v>45</v>
      </c>
      <c r="I103" s="43" t="s">
        <v>45</v>
      </c>
      <c r="J103" s="67">
        <f t="shared" si="12"/>
        <v>13.291585665014328</v>
      </c>
      <c r="K103" s="65">
        <f t="shared" si="11"/>
        <v>128.53185350423274</v>
      </c>
    </row>
    <row r="104" spans="2:11" x14ac:dyDescent="0.2">
      <c r="B104" s="32" t="s">
        <v>75</v>
      </c>
      <c r="C104" s="66">
        <f>0</f>
        <v>0</v>
      </c>
      <c r="D104" s="66">
        <f>1180000</f>
        <v>1180000</v>
      </c>
      <c r="E104" s="43" t="s">
        <v>45</v>
      </c>
      <c r="F104" s="43" t="s">
        <v>45</v>
      </c>
      <c r="G104" s="43" t="s">
        <v>45</v>
      </c>
      <c r="H104" s="43" t="s">
        <v>45</v>
      </c>
      <c r="I104" s="43" t="s">
        <v>45</v>
      </c>
      <c r="J104" s="67">
        <f t="shared" si="12"/>
        <v>2.6930763570043627E-3</v>
      </c>
      <c r="K104" s="65" t="str">
        <f t="shared" si="11"/>
        <v/>
      </c>
    </row>
    <row r="105" spans="2:11" ht="22.5" x14ac:dyDescent="0.2">
      <c r="B105" s="32" t="s">
        <v>76</v>
      </c>
      <c r="C105" s="66">
        <f>14403746156.6</f>
        <v>14403746156.6</v>
      </c>
      <c r="D105" s="66">
        <f>21392405873.72</f>
        <v>21392405873.720001</v>
      </c>
      <c r="E105" s="43" t="s">
        <v>45</v>
      </c>
      <c r="F105" s="43" t="s">
        <v>45</v>
      </c>
      <c r="G105" s="43" t="s">
        <v>45</v>
      </c>
      <c r="H105" s="43" t="s">
        <v>45</v>
      </c>
      <c r="I105" s="43" t="s">
        <v>45</v>
      </c>
      <c r="J105" s="67">
        <f t="shared" si="12"/>
        <v>48.823205489793722</v>
      </c>
      <c r="K105" s="65">
        <f t="shared" si="11"/>
        <v>148.51973674860756</v>
      </c>
    </row>
    <row r="106" spans="2:11" ht="33.75" x14ac:dyDescent="0.2">
      <c r="B106" s="32" t="s">
        <v>94</v>
      </c>
      <c r="C106" s="66">
        <f>0</f>
        <v>0</v>
      </c>
      <c r="D106" s="66">
        <f>355101875.99</f>
        <v>355101875.99000001</v>
      </c>
      <c r="E106" s="43"/>
      <c r="F106" s="43"/>
      <c r="G106" s="43"/>
      <c r="H106" s="43"/>
      <c r="I106" s="43"/>
      <c r="J106" s="67">
        <f>IF($D$98=0,"",100*$D106/$D$98)</f>
        <v>0.810437683522512</v>
      </c>
      <c r="K106" s="65" t="str">
        <f>IF(C106=0,"",100*D106/C106)</f>
        <v/>
      </c>
    </row>
    <row r="107" spans="2:11" x14ac:dyDescent="0.2">
      <c r="B107" s="32" t="s">
        <v>95</v>
      </c>
      <c r="C107" s="66">
        <f>1687098101.56</f>
        <v>1687098101.5599999</v>
      </c>
      <c r="D107" s="66">
        <f>2355561349.99</f>
        <v>2355561349.9899998</v>
      </c>
      <c r="E107" s="43"/>
      <c r="F107" s="43"/>
      <c r="G107" s="43"/>
      <c r="H107" s="43"/>
      <c r="I107" s="43"/>
      <c r="J107" s="48">
        <f t="shared" si="12"/>
        <v>5.3760225246875821</v>
      </c>
      <c r="K107" s="49">
        <f>IF(C107=0,"",100*D107/C107)</f>
        <v>139.62207341777548</v>
      </c>
    </row>
    <row r="108" spans="2:11" x14ac:dyDescent="0.2">
      <c r="B108" s="78" t="s">
        <v>96</v>
      </c>
      <c r="C108" s="66">
        <f>1659534233.16</f>
        <v>1659534233.1600001</v>
      </c>
      <c r="D108" s="66">
        <f>1669651189.03</f>
        <v>1669651189.03</v>
      </c>
      <c r="E108" s="43" t="s">
        <v>45</v>
      </c>
      <c r="F108" s="43" t="s">
        <v>45</v>
      </c>
      <c r="G108" s="43" t="s">
        <v>45</v>
      </c>
      <c r="H108" s="43" t="s">
        <v>45</v>
      </c>
      <c r="I108" s="43" t="s">
        <v>45</v>
      </c>
      <c r="J108" s="67">
        <f t="shared" si="12"/>
        <v>3.8105916454414537</v>
      </c>
      <c r="K108" s="65">
        <f>IF(C108=0,"",100*D108/C108)</f>
        <v>100.60962622330096</v>
      </c>
    </row>
    <row r="109" spans="2:11" ht="25.5" x14ac:dyDescent="0.2">
      <c r="B109" s="38" t="s">
        <v>51</v>
      </c>
      <c r="C109" s="26">
        <f>13762728588.05</f>
        <v>13762728588.049999</v>
      </c>
      <c r="D109" s="26">
        <f>7802963154.49</f>
        <v>7802963154.4899998</v>
      </c>
      <c r="E109" s="43" t="s">
        <v>45</v>
      </c>
      <c r="F109" s="43" t="s">
        <v>45</v>
      </c>
      <c r="G109" s="43" t="s">
        <v>45</v>
      </c>
      <c r="H109" s="43" t="s">
        <v>45</v>
      </c>
      <c r="I109" s="43" t="s">
        <v>45</v>
      </c>
      <c r="J109" s="42">
        <f t="shared" ref="J109:J114" si="13">IF($D$109=0,"",100*$D109/$D$109)</f>
        <v>100</v>
      </c>
      <c r="K109" s="37">
        <f t="shared" si="11"/>
        <v>56.696338262931469</v>
      </c>
    </row>
    <row r="110" spans="2:11" ht="22.5" x14ac:dyDescent="0.2">
      <c r="B110" s="77" t="s">
        <v>77</v>
      </c>
      <c r="C110" s="66">
        <f>12833766522.69</f>
        <v>12833766522.690001</v>
      </c>
      <c r="D110" s="66">
        <f>5391266198.3</f>
        <v>5391266198.3000002</v>
      </c>
      <c r="E110" s="43" t="s">
        <v>45</v>
      </c>
      <c r="F110" s="43" t="s">
        <v>45</v>
      </c>
      <c r="G110" s="43" t="s">
        <v>45</v>
      </c>
      <c r="H110" s="43" t="s">
        <v>45</v>
      </c>
      <c r="I110" s="43" t="s">
        <v>45</v>
      </c>
      <c r="J110" s="48">
        <f t="shared" si="13"/>
        <v>69.092549734747166</v>
      </c>
      <c r="K110" s="49">
        <f t="shared" si="11"/>
        <v>42.008448484459201</v>
      </c>
    </row>
    <row r="111" spans="2:11" x14ac:dyDescent="0.2">
      <c r="B111" s="78" t="s">
        <v>78</v>
      </c>
      <c r="C111" s="66">
        <f>750992795.31</f>
        <v>750992795.30999994</v>
      </c>
      <c r="D111" s="66">
        <f>38348972.7</f>
        <v>38348972.700000003</v>
      </c>
      <c r="E111" s="43" t="s">
        <v>45</v>
      </c>
      <c r="F111" s="43" t="s">
        <v>45</v>
      </c>
      <c r="G111" s="43" t="s">
        <v>45</v>
      </c>
      <c r="H111" s="43" t="s">
        <v>45</v>
      </c>
      <c r="I111" s="43" t="s">
        <v>45</v>
      </c>
      <c r="J111" s="67">
        <f t="shared" si="13"/>
        <v>0.49146679204723848</v>
      </c>
      <c r="K111" s="65">
        <f t="shared" si="11"/>
        <v>5.1064368312841211</v>
      </c>
    </row>
    <row r="112" spans="2:11" x14ac:dyDescent="0.2">
      <c r="B112" s="32" t="s">
        <v>85</v>
      </c>
      <c r="C112" s="66">
        <f>594570229.11</f>
        <v>594570229.11000001</v>
      </c>
      <c r="D112" s="66">
        <f>423145299.72</f>
        <v>423145299.72000003</v>
      </c>
      <c r="E112" s="43" t="s">
        <v>45</v>
      </c>
      <c r="F112" s="43" t="s">
        <v>45</v>
      </c>
      <c r="G112" s="43" t="s">
        <v>45</v>
      </c>
      <c r="H112" s="43" t="s">
        <v>45</v>
      </c>
      <c r="I112" s="43" t="s">
        <v>45</v>
      </c>
      <c r="J112" s="67">
        <f t="shared" si="13"/>
        <v>5.4228796335724425</v>
      </c>
      <c r="K112" s="65">
        <f t="shared" si="11"/>
        <v>71.168262217467145</v>
      </c>
    </row>
    <row r="113" spans="2:11" x14ac:dyDescent="0.2">
      <c r="B113" s="79" t="s">
        <v>97</v>
      </c>
      <c r="C113" s="66">
        <f>334391836.25</f>
        <v>334391836.25</v>
      </c>
      <c r="D113" s="66">
        <f>1988551656.47</f>
        <v>1988551656.47</v>
      </c>
      <c r="E113" s="43" t="s">
        <v>45</v>
      </c>
      <c r="F113" s="43" t="s">
        <v>45</v>
      </c>
      <c r="G113" s="43" t="s">
        <v>45</v>
      </c>
      <c r="H113" s="43" t="s">
        <v>45</v>
      </c>
      <c r="I113" s="43" t="s">
        <v>45</v>
      </c>
      <c r="J113" s="48">
        <f t="shared" si="13"/>
        <v>25.484570631680388</v>
      </c>
      <c r="K113" s="49">
        <f t="shared" si="11"/>
        <v>594.67709462359824</v>
      </c>
    </row>
    <row r="114" spans="2:11" x14ac:dyDescent="0.2">
      <c r="B114" s="92" t="s">
        <v>98</v>
      </c>
      <c r="C114" s="66">
        <f>216554873.99</f>
        <v>216554873.99000001</v>
      </c>
      <c r="D114" s="66">
        <f>114567112.68</f>
        <v>114567112.68000001</v>
      </c>
      <c r="E114" s="43" t="s">
        <v>45</v>
      </c>
      <c r="F114" s="43" t="s">
        <v>45</v>
      </c>
      <c r="G114" s="43" t="s">
        <v>45</v>
      </c>
      <c r="H114" s="43" t="s">
        <v>45</v>
      </c>
      <c r="I114" s="43" t="s">
        <v>45</v>
      </c>
      <c r="J114" s="48">
        <f t="shared" si="13"/>
        <v>1.4682513605626282</v>
      </c>
      <c r="K114" s="49">
        <f>IF(C114=0,"",100*D114/C114)</f>
        <v>52.904425824786763</v>
      </c>
    </row>
    <row r="116" spans="2:11" x14ac:dyDescent="0.2">
      <c r="B116" s="41" t="s">
        <v>16</v>
      </c>
      <c r="C116" s="72" t="s">
        <v>17</v>
      </c>
      <c r="D116" s="19" t="s">
        <v>1</v>
      </c>
    </row>
    <row r="117" spans="2:11" x14ac:dyDescent="0.2">
      <c r="B117" s="41"/>
      <c r="C117" s="122" t="s">
        <v>64</v>
      </c>
      <c r="D117" s="123"/>
    </row>
    <row r="118" spans="2:11" x14ac:dyDescent="0.2">
      <c r="B118" s="39">
        <v>1</v>
      </c>
      <c r="C118" s="72">
        <v>2</v>
      </c>
      <c r="D118" s="19">
        <v>3</v>
      </c>
    </row>
    <row r="119" spans="2:11" ht="22.5" x14ac:dyDescent="0.2">
      <c r="B119" s="47" t="s">
        <v>99</v>
      </c>
      <c r="C119" s="45">
        <f>42516232297.5</f>
        <v>42516232297.5</v>
      </c>
      <c r="D119" s="28">
        <f>0</f>
        <v>0</v>
      </c>
    </row>
    <row r="120" spans="2:11" ht="22.5" x14ac:dyDescent="0.2">
      <c r="B120" s="85" t="s">
        <v>66</v>
      </c>
      <c r="C120" s="46">
        <f>1777509701.07</f>
        <v>1777509701.0699999</v>
      </c>
      <c r="D120" s="74">
        <f>0</f>
        <v>0</v>
      </c>
    </row>
    <row r="121" spans="2:11" x14ac:dyDescent="0.2">
      <c r="B121" s="85" t="s">
        <v>67</v>
      </c>
      <c r="C121" s="46">
        <f>18480256697.55</f>
        <v>18480256697.549999</v>
      </c>
      <c r="D121" s="74">
        <f>0</f>
        <v>0</v>
      </c>
    </row>
    <row r="122" spans="2:11" x14ac:dyDescent="0.2">
      <c r="B122" s="85" t="s">
        <v>68</v>
      </c>
      <c r="C122" s="46">
        <f>0</f>
        <v>0</v>
      </c>
      <c r="D122" s="74">
        <f>0</f>
        <v>0</v>
      </c>
    </row>
    <row r="123" spans="2:11" ht="33.75" x14ac:dyDescent="0.2">
      <c r="B123" s="85" t="s">
        <v>86</v>
      </c>
      <c r="C123" s="46">
        <f>5109955660.86</f>
        <v>5109955660.8599997</v>
      </c>
      <c r="D123" s="74">
        <f>0</f>
        <v>0</v>
      </c>
    </row>
    <row r="124" spans="2:11" ht="56.25" x14ac:dyDescent="0.2">
      <c r="B124" s="85" t="s">
        <v>69</v>
      </c>
      <c r="C124" s="46">
        <f>11278229769.86</f>
        <v>11278229769.860001</v>
      </c>
      <c r="D124" s="74">
        <f>0</f>
        <v>0</v>
      </c>
    </row>
    <row r="125" spans="2:11" ht="90" x14ac:dyDescent="0.2">
      <c r="B125" s="85" t="s">
        <v>88</v>
      </c>
      <c r="C125" s="46">
        <f>4236668115.35</f>
        <v>4236668115.3499999</v>
      </c>
      <c r="D125" s="74">
        <f>0</f>
        <v>0</v>
      </c>
    </row>
    <row r="126" spans="2:11" x14ac:dyDescent="0.2">
      <c r="B126" s="85" t="s">
        <v>81</v>
      </c>
      <c r="C126" s="46">
        <f>140596285.15</f>
        <v>140596285.15000001</v>
      </c>
      <c r="D126" s="74">
        <f>0</f>
        <v>0</v>
      </c>
    </row>
    <row r="127" spans="2:11" x14ac:dyDescent="0.2">
      <c r="B127" s="85" t="s">
        <v>96</v>
      </c>
      <c r="C127" s="46">
        <f>1493016067.66</f>
        <v>1493016067.6600001</v>
      </c>
      <c r="D127" s="74">
        <f>0</f>
        <v>0</v>
      </c>
    </row>
    <row r="129" spans="2:4" x14ac:dyDescent="0.2">
      <c r="B129" s="33" t="s">
        <v>52</v>
      </c>
      <c r="C129" s="97">
        <f>2</f>
        <v>2</v>
      </c>
      <c r="D129" s="33" t="str">
        <f>IF(C129=1,"I Kwartał",IF(C129=2,"II Kwartały",IF(C129=3,"III Kwartały",IF(C129=4,"IV Kwartały",IF(C129="M1","Styczeń",IF(C129="M11","Listopad",IF(C129="M12","Grudzień","-")))))))</f>
        <v>II Kwartały</v>
      </c>
    </row>
    <row r="130" spans="2:4" x14ac:dyDescent="0.2">
      <c r="B130" s="33" t="s">
        <v>53</v>
      </c>
      <c r="C130" s="88">
        <f>2025</f>
        <v>2025</v>
      </c>
    </row>
    <row r="131" spans="2:4" x14ac:dyDescent="0.2">
      <c r="B131" s="33" t="s">
        <v>54</v>
      </c>
      <c r="C131" s="124" t="str">
        <f>"Aug 15 2025 12:00AM"</f>
        <v>Aug 15 2025 12:00AM</v>
      </c>
      <c r="D131" s="125"/>
    </row>
  </sheetData>
  <mergeCells count="26">
    <mergeCell ref="C131:D131"/>
    <mergeCell ref="C117:D117"/>
    <mergeCell ref="J96:K96"/>
    <mergeCell ref="J64:K64"/>
    <mergeCell ref="K61:K63"/>
    <mergeCell ref="I61:I63"/>
    <mergeCell ref="J61:J63"/>
    <mergeCell ref="F61:H61"/>
    <mergeCell ref="C61:C63"/>
    <mergeCell ref="G62:H62"/>
    <mergeCell ref="E95:I97"/>
    <mergeCell ref="B3:B4"/>
    <mergeCell ref="J4:L4"/>
    <mergeCell ref="B61:B64"/>
    <mergeCell ref="C4:I4"/>
    <mergeCell ref="D61:D63"/>
    <mergeCell ref="E61:E63"/>
    <mergeCell ref="C64:H64"/>
    <mergeCell ref="C96:D96"/>
    <mergeCell ref="F62:F63"/>
    <mergeCell ref="B80:B81"/>
    <mergeCell ref="C80:D80"/>
    <mergeCell ref="E80:F80"/>
    <mergeCell ref="B85:B86"/>
    <mergeCell ref="C85:D85"/>
    <mergeCell ref="E85:F85"/>
  </mergeCells>
  <phoneticPr fontId="0" type="noConversion"/>
  <pageMargins left="0.19685039370078741" right="0.19685039370078741" top="0.55118110236220474" bottom="0.39370078740157483" header="0.31496062992125984" footer="0.19685039370078741"/>
  <pageSetup paperSize="9" scale="75" orientation="landscape" useFirstPageNumber="1" r:id="rId1"/>
  <headerFooter alignWithMargins="0">
    <oddFooter>&amp;RStrona &amp;P z &amp;N</oddFooter>
  </headerFooter>
  <rowBreaks count="2" manualBreakCount="2">
    <brk id="45" max="12" man="1"/>
    <brk id="9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doch_wyd</vt:lpstr>
      <vt:lpstr>doch_wyd!Obszar_wydruku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2025-02-06T15:04:44Z</cp:lastPrinted>
  <dcterms:created xsi:type="dcterms:W3CDTF">2001-05-17T08:58:03Z</dcterms:created>
  <dcterms:modified xsi:type="dcterms:W3CDTF">2025-08-21T11:43:21Z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2025-01-31T14:00:36.4926801+01:00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GRN-4a6a8bce-14a0-44be-8a2d-20d4f4ebfc44</vt:lpwstr>
  </property>
  <property fmtid="{D5CDD505-2E9C-101B-9397-08002B2CF9AE}" pid="7" name="MFHash">
    <vt:lpwstr>hJ+ngg+9s+tGkx/Vu3SXQN++GIMm8CSpPy5/CP61cQE=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