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4CE1ED2B-D26E-4D2E-911D-EF93EA1DF2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 l="1"/>
  <c r="A1" i="7" l="1"/>
  <c r="A82" i="7"/>
  <c r="A63" i="7"/>
  <c r="A27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<sst xmlns="http://schemas.openxmlformats.org/spreadsheetml/2006/main" count="97" uniqueCount="81">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</sst>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3"/>
  <sheetViews>
    <sheetView tabSelected="1" zoomScaleNormal="100" zoomScaleSheetLayoutView="75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47" t="str">
        <f>CONCATENATE("Informacja z wykonania budżetów powiatów za   ",$C$90," ",$B$91," roku    ",$B$93,"")</f>
        <v xml:space="preserve">Informacja z wykonania budżetów powiatów za   IV Kwartały 2025 roku    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7" ht="13.5" customHeight="1" x14ac:dyDescent="0.2"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</row>
    <row r="6" spans="1:17" ht="13.5" customHeight="1" x14ac:dyDescent="0.2">
      <c r="A6" s="38" t="s">
        <v>0</v>
      </c>
      <c r="B6" s="43" t="s">
        <v>61</v>
      </c>
      <c r="C6" s="52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52" t="s">
        <v>64</v>
      </c>
      <c r="P6" s="30"/>
      <c r="Q6" s="31"/>
    </row>
    <row r="7" spans="1:17" ht="13.5" customHeight="1" x14ac:dyDescent="0.2">
      <c r="A7" s="39"/>
      <c r="B7" s="41"/>
      <c r="C7" s="42" t="s">
        <v>62</v>
      </c>
      <c r="D7" s="42" t="s">
        <v>73</v>
      </c>
      <c r="E7" s="42" t="s">
        <v>66</v>
      </c>
      <c r="F7" s="42" t="s">
        <v>67</v>
      </c>
      <c r="G7" s="42" t="s">
        <v>27</v>
      </c>
      <c r="H7" s="42" t="s">
        <v>28</v>
      </c>
      <c r="I7" s="49" t="s">
        <v>63</v>
      </c>
      <c r="J7" s="42" t="s">
        <v>16</v>
      </c>
      <c r="K7" s="42" t="s">
        <v>17</v>
      </c>
      <c r="L7" s="42" t="s">
        <v>18</v>
      </c>
      <c r="M7" s="42" t="s">
        <v>19</v>
      </c>
      <c r="N7" s="41" t="s">
        <v>20</v>
      </c>
      <c r="O7" s="37" t="s">
        <v>21</v>
      </c>
      <c r="P7" s="37" t="s">
        <v>22</v>
      </c>
      <c r="Q7" s="37" t="s">
        <v>23</v>
      </c>
    </row>
    <row r="8" spans="1:17" ht="13.5" customHeight="1" x14ac:dyDescent="0.2">
      <c r="A8" s="39"/>
      <c r="B8" s="41"/>
      <c r="C8" s="37"/>
      <c r="D8" s="37"/>
      <c r="E8" s="37"/>
      <c r="F8" s="37"/>
      <c r="G8" s="37"/>
      <c r="H8" s="37"/>
      <c r="I8" s="49"/>
      <c r="J8" s="37"/>
      <c r="K8" s="37"/>
      <c r="L8" s="37"/>
      <c r="M8" s="37"/>
      <c r="N8" s="41"/>
      <c r="O8" s="37"/>
      <c r="P8" s="37"/>
      <c r="Q8" s="37"/>
    </row>
    <row r="9" spans="1:17" ht="11.25" customHeight="1" x14ac:dyDescent="0.2">
      <c r="A9" s="39"/>
      <c r="B9" s="41"/>
      <c r="C9" s="37"/>
      <c r="D9" s="37"/>
      <c r="E9" s="37"/>
      <c r="F9" s="37"/>
      <c r="G9" s="37"/>
      <c r="H9" s="37"/>
      <c r="I9" s="49"/>
      <c r="J9" s="37"/>
      <c r="K9" s="37"/>
      <c r="L9" s="37"/>
      <c r="M9" s="37"/>
      <c r="N9" s="41"/>
      <c r="O9" s="37"/>
      <c r="P9" s="37"/>
      <c r="Q9" s="37"/>
    </row>
    <row r="10" spans="1:17" ht="33.75" customHeight="1" x14ac:dyDescent="0.2">
      <c r="A10" s="40"/>
      <c r="B10" s="42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42"/>
      <c r="O10" s="37"/>
      <c r="P10" s="37"/>
      <c r="Q10" s="37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27" t="s">
        <v>76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39.75" customHeight="1" x14ac:dyDescent="0.2">
      <c r="A13" s="20" t="s">
        <v>45</v>
      </c>
      <c r="B13" s="21">
        <f>7133498552.09</f>
        <v>7133498552.0900002</v>
      </c>
      <c r="C13" s="21">
        <f>7133498552.09</f>
        <v>7133498552.0900002</v>
      </c>
      <c r="D13" s="21">
        <f>235856994.6</f>
        <v>235856994.59999999</v>
      </c>
      <c r="E13" s="21">
        <f>187272085.49</f>
        <v>187272085.49000001</v>
      </c>
      <c r="F13" s="21">
        <f>4694937.75</f>
        <v>4694937.75</v>
      </c>
      <c r="G13" s="21">
        <f>43889971.36</f>
        <v>43889971.359999999</v>
      </c>
      <c r="H13" s="21">
        <f>0</f>
        <v>0</v>
      </c>
      <c r="I13" s="21">
        <f>0</f>
        <v>0</v>
      </c>
      <c r="J13" s="21">
        <f>6504175522.44</f>
        <v>6504175522.4399996</v>
      </c>
      <c r="K13" s="21">
        <f>389926451.51</f>
        <v>389926451.50999999</v>
      </c>
      <c r="L13" s="21">
        <f>1823700.27</f>
        <v>1823700.27</v>
      </c>
      <c r="M13" s="21">
        <f>117436.61</f>
        <v>117436.61</v>
      </c>
      <c r="N13" s="21">
        <f>1598446.66</f>
        <v>1598446.66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31500000</f>
        <v>31500000</v>
      </c>
      <c r="C14" s="21">
        <f>31500000</f>
        <v>31500000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31500000</f>
        <v>31500000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31500000</f>
        <v>31500000</v>
      </c>
      <c r="C16" s="22">
        <f>31500000</f>
        <v>31500000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31500000</f>
        <v>31500000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7090671762.97</f>
        <v>7090671762.9700003</v>
      </c>
      <c r="C17" s="21">
        <f>7090671762.97</f>
        <v>7090671762.9700003</v>
      </c>
      <c r="D17" s="21">
        <f>225838613.9</f>
        <v>225838613.90000001</v>
      </c>
      <c r="E17" s="21">
        <f>187257180.79</f>
        <v>187257180.78999999</v>
      </c>
      <c r="F17" s="21">
        <f>4694937.75</f>
        <v>4694937.75</v>
      </c>
      <c r="G17" s="21">
        <f>33886495.36</f>
        <v>33886495.359999999</v>
      </c>
      <c r="H17" s="21">
        <f>0</f>
        <v>0</v>
      </c>
      <c r="I17" s="21">
        <f>0</f>
        <v>0</v>
      </c>
      <c r="J17" s="21">
        <f>6472675522.44</f>
        <v>6472675522.4399996</v>
      </c>
      <c r="K17" s="21">
        <f>389926451.51</f>
        <v>389926451.50999999</v>
      </c>
      <c r="L17" s="21">
        <f>1195966.12</f>
        <v>1195966.1200000001</v>
      </c>
      <c r="M17" s="21">
        <f>0</f>
        <v>0</v>
      </c>
      <c r="N17" s="21">
        <f>1035209</f>
        <v>1035209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3388440.08</f>
        <v>3388440.08</v>
      </c>
      <c r="C18" s="22">
        <f>3388440.08</f>
        <v>3388440.08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3388440.08</f>
        <v>3388440.08</v>
      </c>
      <c r="K18" s="22">
        <f>0</f>
        <v>0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7087283322.89</f>
        <v>7087283322.8900003</v>
      </c>
      <c r="C19" s="22">
        <f>7087283322.89</f>
        <v>7087283322.8900003</v>
      </c>
      <c r="D19" s="22">
        <f>225838613.9</f>
        <v>225838613.90000001</v>
      </c>
      <c r="E19" s="22">
        <f>187257180.79</f>
        <v>187257180.78999999</v>
      </c>
      <c r="F19" s="22">
        <f>4694937.75</f>
        <v>4694937.75</v>
      </c>
      <c r="G19" s="22">
        <f>33886495.36</f>
        <v>33886495.359999999</v>
      </c>
      <c r="H19" s="22">
        <f>0</f>
        <v>0</v>
      </c>
      <c r="I19" s="22">
        <f>0</f>
        <v>0</v>
      </c>
      <c r="J19" s="22">
        <f>6469287082.36</f>
        <v>6469287082.3599997</v>
      </c>
      <c r="K19" s="22">
        <f>389926451.51</f>
        <v>389926451.50999999</v>
      </c>
      <c r="L19" s="22">
        <f>1195966.12</f>
        <v>1195966.1200000001</v>
      </c>
      <c r="M19" s="22">
        <f>0</f>
        <v>0</v>
      </c>
      <c r="N19" s="22">
        <f>1035209</f>
        <v>1035209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10000000</f>
        <v>10000000</v>
      </c>
      <c r="C20" s="22">
        <f>10000000</f>
        <v>10000000</v>
      </c>
      <c r="D20" s="22">
        <f>10000000</f>
        <v>10000000</v>
      </c>
      <c r="E20" s="22">
        <f>0</f>
        <v>0</v>
      </c>
      <c r="F20" s="22">
        <f>0</f>
        <v>0</v>
      </c>
      <c r="G20" s="22">
        <f>10000000</f>
        <v>10000000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1326789.12</f>
        <v>1326789.1200000001</v>
      </c>
      <c r="C21" s="21">
        <f>1326789.12</f>
        <v>1326789.1200000001</v>
      </c>
      <c r="D21" s="21">
        <f>18380.7</f>
        <v>18380.7</v>
      </c>
      <c r="E21" s="21">
        <f>14904.7</f>
        <v>14904.7</v>
      </c>
      <c r="F21" s="21">
        <f>0</f>
        <v>0</v>
      </c>
      <c r="G21" s="21">
        <f>3476</f>
        <v>3476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627734.15</f>
        <v>627734.15</v>
      </c>
      <c r="M21" s="21">
        <f>117436.61</f>
        <v>117436.61</v>
      </c>
      <c r="N21" s="21">
        <f>563237.66</f>
        <v>563237.66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920367.24</f>
        <v>920367.24</v>
      </c>
      <c r="C22" s="22">
        <f>920367.24</f>
        <v>920367.24</v>
      </c>
      <c r="D22" s="22">
        <f>684.7</f>
        <v>684.7</v>
      </c>
      <c r="E22" s="22">
        <f>404.7</f>
        <v>404.7</v>
      </c>
      <c r="F22" s="22">
        <f>0</f>
        <v>0</v>
      </c>
      <c r="G22" s="22">
        <f>280</f>
        <v>280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334838.96</f>
        <v>334838.96000000002</v>
      </c>
      <c r="M22" s="22">
        <f>35591.92</f>
        <v>35591.919999999998</v>
      </c>
      <c r="N22" s="22">
        <f>549251.66</f>
        <v>549251.66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406421.88</f>
        <v>406421.88</v>
      </c>
      <c r="C23" s="22">
        <f>406421.88</f>
        <v>406421.88</v>
      </c>
      <c r="D23" s="22">
        <f>17696</f>
        <v>17696</v>
      </c>
      <c r="E23" s="22">
        <f>14500</f>
        <v>14500</v>
      </c>
      <c r="F23" s="22">
        <f>0</f>
        <v>0</v>
      </c>
      <c r="G23" s="22">
        <f>3196</f>
        <v>3196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292895.19</f>
        <v>292895.19</v>
      </c>
      <c r="M23" s="22">
        <f>81844.69</f>
        <v>81844.69</v>
      </c>
      <c r="N23" s="22">
        <f>13986</f>
        <v>13986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47" t="str">
        <f>CONCATENATE("Informacja z wykonania budżetów powiatów za   ",$C$90," ",$B$91," roku    ",$B$93,"")</f>
        <v xml:space="preserve">Informacja z wykonania budżetów powiatów za   IV Kwartały 2025 roku    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9" spans="1:17" ht="13.5" customHeight="1" x14ac:dyDescent="0.2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1" spans="1:17" ht="13.5" customHeight="1" x14ac:dyDescent="0.2">
      <c r="A31" s="38" t="s">
        <v>0</v>
      </c>
      <c r="B31" s="43" t="s">
        <v>12</v>
      </c>
      <c r="C31" s="44" t="s">
        <v>14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4" t="s">
        <v>24</v>
      </c>
      <c r="P31" s="45"/>
      <c r="Q31" s="46"/>
    </row>
    <row r="32" spans="1:17" ht="13.5" customHeight="1" x14ac:dyDescent="0.2">
      <c r="A32" s="39"/>
      <c r="B32" s="41"/>
      <c r="C32" s="41" t="s">
        <v>13</v>
      </c>
      <c r="D32" s="37" t="s">
        <v>15</v>
      </c>
      <c r="E32" s="37" t="s">
        <v>25</v>
      </c>
      <c r="F32" s="37" t="s">
        <v>26</v>
      </c>
      <c r="G32" s="37" t="s">
        <v>70</v>
      </c>
      <c r="H32" s="37" t="s">
        <v>28</v>
      </c>
      <c r="I32" s="37" t="s">
        <v>1</v>
      </c>
      <c r="J32" s="37" t="s">
        <v>16</v>
      </c>
      <c r="K32" s="37" t="s">
        <v>17</v>
      </c>
      <c r="L32" s="37" t="s">
        <v>18</v>
      </c>
      <c r="M32" s="37" t="s">
        <v>19</v>
      </c>
      <c r="N32" s="85" t="s">
        <v>20</v>
      </c>
      <c r="O32" s="37" t="s">
        <v>21</v>
      </c>
      <c r="P32" s="37" t="s">
        <v>22</v>
      </c>
      <c r="Q32" s="43" t="s">
        <v>23</v>
      </c>
    </row>
    <row r="33" spans="1:17" ht="13.5" customHeight="1" x14ac:dyDescent="0.2">
      <c r="A33" s="39"/>
      <c r="B33" s="41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85"/>
      <c r="O33" s="37"/>
      <c r="P33" s="37"/>
      <c r="Q33" s="41"/>
    </row>
    <row r="34" spans="1:17" ht="11.25" customHeight="1" x14ac:dyDescent="0.2">
      <c r="A34" s="39"/>
      <c r="B34" s="41"/>
      <c r="C34" s="4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5"/>
      <c r="O34" s="37"/>
      <c r="P34" s="37"/>
      <c r="Q34" s="41"/>
    </row>
    <row r="35" spans="1:17" ht="41.25" customHeight="1" x14ac:dyDescent="0.2">
      <c r="A35" s="40"/>
      <c r="B35" s="42"/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5"/>
      <c r="O35" s="37"/>
      <c r="P35" s="37"/>
      <c r="Q35" s="42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27" t="s">
        <v>76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30" customHeight="1" x14ac:dyDescent="0.2">
      <c r="A38" s="25" t="s">
        <v>40</v>
      </c>
      <c r="B38" s="23">
        <f>941</f>
        <v>941</v>
      </c>
      <c r="C38" s="23">
        <f>941</f>
        <v>941</v>
      </c>
      <c r="D38" s="23">
        <f>0</f>
        <v>0</v>
      </c>
      <c r="E38" s="23">
        <f>0</f>
        <v>0</v>
      </c>
      <c r="F38" s="23">
        <f>0</f>
        <v>0</v>
      </c>
      <c r="G38" s="23">
        <f>0</f>
        <v>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941</f>
        <v>941</v>
      </c>
      <c r="M38" s="23">
        <f>0</f>
        <v>0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0</f>
        <v>0</v>
      </c>
      <c r="C39" s="24">
        <f>0</f>
        <v>0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0</f>
        <v>0</v>
      </c>
      <c r="M39" s="24">
        <f>0</f>
        <v>0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941</f>
        <v>941</v>
      </c>
      <c r="C40" s="24">
        <f>941</f>
        <v>941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941</f>
        <v>941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321319031.6</f>
        <v>321319031.60000002</v>
      </c>
      <c r="C41" s="23">
        <f>321319031.6</f>
        <v>321319031.60000002</v>
      </c>
      <c r="D41" s="23">
        <f>234132962.82</f>
        <v>234132962.81999999</v>
      </c>
      <c r="E41" s="23">
        <f>15450</f>
        <v>15450</v>
      </c>
      <c r="F41" s="23">
        <f>14102403.2</f>
        <v>14102403.199999999</v>
      </c>
      <c r="G41" s="23">
        <f>220015109.62</f>
        <v>220015109.62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71038004.7</f>
        <v>71038004.700000003</v>
      </c>
      <c r="M41" s="23">
        <f>14039698.09</f>
        <v>14039698.09</v>
      </c>
      <c r="N41" s="23">
        <f>2108365.99</f>
        <v>2108365.9900000002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38815904.54</f>
        <v>38815904.539999999</v>
      </c>
      <c r="C42" s="24">
        <f>38815904.54</f>
        <v>38815904.539999999</v>
      </c>
      <c r="D42" s="24">
        <f>31954959.18</f>
        <v>31954959.18</v>
      </c>
      <c r="E42" s="24">
        <f>0</f>
        <v>0</v>
      </c>
      <c r="F42" s="24">
        <f>0</f>
        <v>0</v>
      </c>
      <c r="G42" s="24">
        <f>31954959.18</f>
        <v>31954959.18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4375417.48</f>
        <v>4375417.4800000004</v>
      </c>
      <c r="M42" s="24">
        <f>1410527.88</f>
        <v>1410527.88</v>
      </c>
      <c r="N42" s="24">
        <f>1075000</f>
        <v>1075000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282503127.06</f>
        <v>282503127.06</v>
      </c>
      <c r="C43" s="24">
        <f>282503127.06</f>
        <v>282503127.06</v>
      </c>
      <c r="D43" s="24">
        <f>202178003.64</f>
        <v>202178003.63999999</v>
      </c>
      <c r="E43" s="24">
        <f>15450</f>
        <v>15450</v>
      </c>
      <c r="F43" s="24">
        <f>14102403.2</f>
        <v>14102403.199999999</v>
      </c>
      <c r="G43" s="24">
        <f>188060150.44</f>
        <v>188060150.44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66662587.22</f>
        <v>66662587.219999999</v>
      </c>
      <c r="M43" s="24">
        <f>12629170.21</f>
        <v>12629170.210000001</v>
      </c>
      <c r="N43" s="24">
        <f>1033365.99</f>
        <v>1033365.99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8797420930.28</f>
        <v>8797420930.2800007</v>
      </c>
      <c r="C44" s="23">
        <f>8797420930.28</f>
        <v>8797420930.2800007</v>
      </c>
      <c r="D44" s="23">
        <f>106094.14</f>
        <v>106094.14</v>
      </c>
      <c r="E44" s="23">
        <f>2814.08</f>
        <v>2814.08</v>
      </c>
      <c r="F44" s="23">
        <f>2640</f>
        <v>2640</v>
      </c>
      <c r="G44" s="23">
        <f>100640.06</f>
        <v>100640.06</v>
      </c>
      <c r="H44" s="23">
        <f>0</f>
        <v>0</v>
      </c>
      <c r="I44" s="23">
        <f>4506146.18</f>
        <v>4506146.18</v>
      </c>
      <c r="J44" s="23">
        <f>8792554217.83</f>
        <v>8792554217.8299999</v>
      </c>
      <c r="K44" s="23">
        <f>16701.58</f>
        <v>16701.580000000002</v>
      </c>
      <c r="L44" s="23">
        <f>139763.33</f>
        <v>139763.32999999999</v>
      </c>
      <c r="M44" s="23">
        <f>2000</f>
        <v>2000</v>
      </c>
      <c r="N44" s="23">
        <f>96007.22</f>
        <v>96007.22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69928.51</f>
        <v>69928.509999999995</v>
      </c>
      <c r="C45" s="24">
        <f>69928.51</f>
        <v>69928.509999999995</v>
      </c>
      <c r="D45" s="24">
        <f>69928.51</f>
        <v>69928.509999999995</v>
      </c>
      <c r="E45" s="24">
        <f>0</f>
        <v>0</v>
      </c>
      <c r="F45" s="24">
        <f>0</f>
        <v>0</v>
      </c>
      <c r="G45" s="24">
        <f>69928.51</f>
        <v>69928.509999999995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8568687779.44</f>
        <v>8568687779.4399996</v>
      </c>
      <c r="C46" s="24">
        <f>8568687779.44</f>
        <v>8568687779.4399996</v>
      </c>
      <c r="D46" s="24">
        <f>26867.5</f>
        <v>26867.5</v>
      </c>
      <c r="E46" s="24">
        <f>1284.55</f>
        <v>1284.55</v>
      </c>
      <c r="F46" s="24">
        <f>0</f>
        <v>0</v>
      </c>
      <c r="G46" s="24">
        <f>25582.95</f>
        <v>25582.95</v>
      </c>
      <c r="H46" s="24">
        <f>0</f>
        <v>0</v>
      </c>
      <c r="I46" s="24">
        <f>4506146.18</f>
        <v>4506146.18</v>
      </c>
      <c r="J46" s="24">
        <f>8564015379.27</f>
        <v>8564015379.2700005</v>
      </c>
      <c r="K46" s="24">
        <f>14211.48</f>
        <v>14211.48</v>
      </c>
      <c r="L46" s="24">
        <f>29167.79</f>
        <v>29167.79</v>
      </c>
      <c r="M46" s="24">
        <f>0</f>
        <v>0</v>
      </c>
      <c r="N46" s="24">
        <f>96007.22</f>
        <v>96007.22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228663222.33</f>
        <v>228663222.33000001</v>
      </c>
      <c r="C47" s="24">
        <f>228663222.33</f>
        <v>228663222.33000001</v>
      </c>
      <c r="D47" s="24">
        <f>9298.13</f>
        <v>9298.1299999999992</v>
      </c>
      <c r="E47" s="24">
        <f>1529.53</f>
        <v>1529.53</v>
      </c>
      <c r="F47" s="24">
        <f>2640</f>
        <v>2640</v>
      </c>
      <c r="G47" s="24">
        <f>5128.6</f>
        <v>5128.6000000000004</v>
      </c>
      <c r="H47" s="24">
        <f>0</f>
        <v>0</v>
      </c>
      <c r="I47" s="24">
        <f>0</f>
        <v>0</v>
      </c>
      <c r="J47" s="24">
        <f>228538838.56</f>
        <v>228538838.56</v>
      </c>
      <c r="K47" s="24">
        <f>2490.1</f>
        <v>2490.1</v>
      </c>
      <c r="L47" s="24">
        <f>110595.54</f>
        <v>110595.54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918068666.08</f>
        <v>918068666.08000004</v>
      </c>
      <c r="C48" s="23">
        <f>916994467.73</f>
        <v>916994467.73000002</v>
      </c>
      <c r="D48" s="23">
        <f>35043673.48</f>
        <v>35043673.479999997</v>
      </c>
      <c r="E48" s="23">
        <f>11165974.54</f>
        <v>11165974.539999999</v>
      </c>
      <c r="F48" s="23">
        <f>1302810.03</f>
        <v>1302810.03</v>
      </c>
      <c r="G48" s="23">
        <f>22569668.5</f>
        <v>22569668.5</v>
      </c>
      <c r="H48" s="23">
        <f>5220.41</f>
        <v>5220.41</v>
      </c>
      <c r="I48" s="23">
        <f>0</f>
        <v>0</v>
      </c>
      <c r="J48" s="23">
        <f>3123971.32</f>
        <v>3123971.32</v>
      </c>
      <c r="K48" s="23">
        <f>737325.98</f>
        <v>737325.98</v>
      </c>
      <c r="L48" s="23">
        <f>240525381.95</f>
        <v>240525381.94999999</v>
      </c>
      <c r="M48" s="23">
        <f>632599356.91</f>
        <v>632599356.90999997</v>
      </c>
      <c r="N48" s="23">
        <f>4964758.09</f>
        <v>4964758.09</v>
      </c>
      <c r="O48" s="23">
        <f>1074198.35</f>
        <v>1074198.3500000001</v>
      </c>
      <c r="P48" s="23">
        <f>385419.19</f>
        <v>385419.19</v>
      </c>
      <c r="Q48" s="23">
        <f>688779.16</f>
        <v>688779.16</v>
      </c>
    </row>
    <row r="49" spans="1:17" ht="25.5" customHeight="1" x14ac:dyDescent="0.2">
      <c r="A49" s="18" t="s">
        <v>36</v>
      </c>
      <c r="B49" s="24">
        <f>161595561.97</f>
        <v>161595561.97</v>
      </c>
      <c r="C49" s="24">
        <f>161547592.92</f>
        <v>161547592.91999999</v>
      </c>
      <c r="D49" s="24">
        <f>5069494.87</f>
        <v>5069494.87</v>
      </c>
      <c r="E49" s="24">
        <f>1387432.28</f>
        <v>1387432.28</v>
      </c>
      <c r="F49" s="24">
        <f>486318.85</f>
        <v>486318.85</v>
      </c>
      <c r="G49" s="24">
        <f>3194368.25</f>
        <v>3194368.25</v>
      </c>
      <c r="H49" s="24">
        <f>1375.49</f>
        <v>1375.49</v>
      </c>
      <c r="I49" s="24">
        <f>0</f>
        <v>0</v>
      </c>
      <c r="J49" s="24">
        <f>5328.04</f>
        <v>5328.04</v>
      </c>
      <c r="K49" s="24">
        <f>511243.61</f>
        <v>511243.61</v>
      </c>
      <c r="L49" s="24">
        <f>52617625.47</f>
        <v>52617625.469999999</v>
      </c>
      <c r="M49" s="24">
        <f>101908234.67</f>
        <v>101908234.67</v>
      </c>
      <c r="N49" s="24">
        <f>1435666.26</f>
        <v>1435666.26</v>
      </c>
      <c r="O49" s="24">
        <f>47969.05</f>
        <v>47969.05</v>
      </c>
      <c r="P49" s="24">
        <f>38736.54</f>
        <v>38736.54</v>
      </c>
      <c r="Q49" s="24">
        <f>9232.51</f>
        <v>9232.51</v>
      </c>
    </row>
    <row r="50" spans="1:17" ht="25.5" customHeight="1" x14ac:dyDescent="0.2">
      <c r="A50" s="18" t="s">
        <v>37</v>
      </c>
      <c r="B50" s="24">
        <f>756473104.11</f>
        <v>756473104.11000001</v>
      </c>
      <c r="C50" s="24">
        <f>755446874.81</f>
        <v>755446874.80999994</v>
      </c>
      <c r="D50" s="24">
        <f>29974178.61</f>
        <v>29974178.609999999</v>
      </c>
      <c r="E50" s="24">
        <f>9778542.26</f>
        <v>9778542.2599999998</v>
      </c>
      <c r="F50" s="24">
        <f>816491.18</f>
        <v>816491.18</v>
      </c>
      <c r="G50" s="24">
        <f>19375300.25</f>
        <v>19375300.25</v>
      </c>
      <c r="H50" s="24">
        <f>3844.92</f>
        <v>3844.92</v>
      </c>
      <c r="I50" s="24">
        <f>0</f>
        <v>0</v>
      </c>
      <c r="J50" s="24">
        <f>3118643.28</f>
        <v>3118643.28</v>
      </c>
      <c r="K50" s="24">
        <f>226082.37</f>
        <v>226082.37</v>
      </c>
      <c r="L50" s="24">
        <f>187907756.48</f>
        <v>187907756.47999999</v>
      </c>
      <c r="M50" s="24">
        <f>530691122.24</f>
        <v>530691122.24000001</v>
      </c>
      <c r="N50" s="24">
        <f>3529091.83</f>
        <v>3529091.83</v>
      </c>
      <c r="O50" s="24">
        <f>1026229.3</f>
        <v>1026229.3</v>
      </c>
      <c r="P50" s="24">
        <f>346682.65</f>
        <v>346682.65</v>
      </c>
      <c r="Q50" s="24">
        <f>679546.65</f>
        <v>679546.65</v>
      </c>
    </row>
    <row r="51" spans="1:17" ht="30" customHeight="1" x14ac:dyDescent="0.2">
      <c r="A51" s="25" t="s">
        <v>44</v>
      </c>
      <c r="B51" s="23">
        <f>837651615.61</f>
        <v>837651615.61000001</v>
      </c>
      <c r="C51" s="23">
        <f>837280643.33</f>
        <v>837280643.33000004</v>
      </c>
      <c r="D51" s="23">
        <f>222760507.38</f>
        <v>222760507.38</v>
      </c>
      <c r="E51" s="23">
        <f>20059348.54</f>
        <v>20059348.539999999</v>
      </c>
      <c r="F51" s="23">
        <f>3796122.33</f>
        <v>3796122.33</v>
      </c>
      <c r="G51" s="23">
        <f>196138927.43</f>
        <v>196138927.43000001</v>
      </c>
      <c r="H51" s="23">
        <f>2766109.08</f>
        <v>2766109.08</v>
      </c>
      <c r="I51" s="23">
        <f>0</f>
        <v>0</v>
      </c>
      <c r="J51" s="23">
        <f>167952.25</f>
        <v>167952.25</v>
      </c>
      <c r="K51" s="23">
        <f>15847274.54</f>
        <v>15847274.539999999</v>
      </c>
      <c r="L51" s="23">
        <f>485823276.65</f>
        <v>485823276.64999998</v>
      </c>
      <c r="M51" s="23">
        <f>106591439.79</f>
        <v>106591439.79000001</v>
      </c>
      <c r="N51" s="23">
        <f>6090192.72</f>
        <v>6090192.7199999997</v>
      </c>
      <c r="O51" s="23">
        <f>370972.28</f>
        <v>370972.28</v>
      </c>
      <c r="P51" s="23">
        <f>70582.7</f>
        <v>70582.7</v>
      </c>
      <c r="Q51" s="23">
        <f>300389.58</f>
        <v>300389.58</v>
      </c>
    </row>
    <row r="52" spans="1:17" ht="31.5" customHeight="1" x14ac:dyDescent="0.2">
      <c r="A52" s="18" t="s">
        <v>38</v>
      </c>
      <c r="B52" s="24">
        <f>58416722.77</f>
        <v>58416722.770000003</v>
      </c>
      <c r="C52" s="24">
        <f>58330846.65</f>
        <v>58330846.649999999</v>
      </c>
      <c r="D52" s="24">
        <f>18854486.74</f>
        <v>18854486.739999998</v>
      </c>
      <c r="E52" s="24">
        <f>599620.82</f>
        <v>599620.81999999995</v>
      </c>
      <c r="F52" s="24">
        <f>738557.89</f>
        <v>738557.89</v>
      </c>
      <c r="G52" s="24">
        <f>15411311.07</f>
        <v>15411311.07</v>
      </c>
      <c r="H52" s="24">
        <f>2104996.96</f>
        <v>2104996.96</v>
      </c>
      <c r="I52" s="24">
        <f>0</f>
        <v>0</v>
      </c>
      <c r="J52" s="24">
        <f>90490.54</f>
        <v>90490.54</v>
      </c>
      <c r="K52" s="24">
        <f>162401.13</f>
        <v>162401.13</v>
      </c>
      <c r="L52" s="24">
        <f>22259784.46</f>
        <v>22259784.460000001</v>
      </c>
      <c r="M52" s="24">
        <f>16033123.08</f>
        <v>16033123.08</v>
      </c>
      <c r="N52" s="24">
        <f>930560.7</f>
        <v>930560.7</v>
      </c>
      <c r="O52" s="24">
        <f>85876.12</f>
        <v>85876.12</v>
      </c>
      <c r="P52" s="24">
        <f>70418.02</f>
        <v>70418.02</v>
      </c>
      <c r="Q52" s="24">
        <f>15458.1</f>
        <v>15458.1</v>
      </c>
    </row>
    <row r="53" spans="1:17" ht="35.25" customHeight="1" x14ac:dyDescent="0.2">
      <c r="A53" s="18" t="s">
        <v>80</v>
      </c>
      <c r="B53" s="24">
        <f>7732300.16</f>
        <v>7732300.1600000001</v>
      </c>
      <c r="C53" s="24">
        <f>7732300.16</f>
        <v>7732300.1600000001</v>
      </c>
      <c r="D53" s="24">
        <f>3106606.1</f>
        <v>3106606.1</v>
      </c>
      <c r="E53" s="24">
        <f>186394.67</f>
        <v>186394.67</v>
      </c>
      <c r="F53" s="24">
        <f>127</f>
        <v>127</v>
      </c>
      <c r="G53" s="24">
        <f>2679395.86</f>
        <v>2679395.86</v>
      </c>
      <c r="H53" s="24">
        <f>240688.57</f>
        <v>240688.57</v>
      </c>
      <c r="I53" s="24">
        <f>0</f>
        <v>0</v>
      </c>
      <c r="J53" s="24">
        <f>0</f>
        <v>0</v>
      </c>
      <c r="K53" s="24">
        <f>6147.44</f>
        <v>6147.44</v>
      </c>
      <c r="L53" s="24">
        <f>4052962.57</f>
        <v>4052962.57</v>
      </c>
      <c r="M53" s="24">
        <f>562801.2</f>
        <v>562801.19999999995</v>
      </c>
      <c r="N53" s="24">
        <f>3782.85</f>
        <v>3782.85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771502592.68</f>
        <v>771502592.67999995</v>
      </c>
      <c r="C54" s="24">
        <f>771217496.52</f>
        <v>771217496.51999998</v>
      </c>
      <c r="D54" s="24">
        <f>200799414.54</f>
        <v>200799414.53999999</v>
      </c>
      <c r="E54" s="24">
        <f>19273333.05</f>
        <v>19273333.050000001</v>
      </c>
      <c r="F54" s="24">
        <f>3057437.44</f>
        <v>3057437.44</v>
      </c>
      <c r="G54" s="24">
        <f>178048220.5</f>
        <v>178048220.5</v>
      </c>
      <c r="H54" s="24">
        <f>420423.55</f>
        <v>420423.55</v>
      </c>
      <c r="I54" s="24">
        <f>0</f>
        <v>0</v>
      </c>
      <c r="J54" s="24">
        <f>77461.71</f>
        <v>77461.710000000006</v>
      </c>
      <c r="K54" s="24">
        <f>15678725.97</f>
        <v>15678725.970000001</v>
      </c>
      <c r="L54" s="24">
        <f>459510529.62</f>
        <v>459510529.62</v>
      </c>
      <c r="M54" s="24">
        <f>89995515.51</f>
        <v>89995515.510000005</v>
      </c>
      <c r="N54" s="24">
        <f>5155849.17</f>
        <v>5155849.17</v>
      </c>
      <c r="O54" s="24">
        <f>285096.16</f>
        <v>285096.15999999997</v>
      </c>
      <c r="P54" s="24">
        <f>164.68</f>
        <v>164.68</v>
      </c>
      <c r="Q54" s="24">
        <f>284931.48</f>
        <v>284931.48</v>
      </c>
    </row>
    <row r="63" spans="1:17" ht="66" customHeight="1" x14ac:dyDescent="0.2">
      <c r="A63" s="47" t="str">
        <f>CONCATENATE("Informacja z wykonania budżetów powiatów za   ",$C$90," ",$B$91," roku    ",$B$93,"")</f>
        <v xml:space="preserve">Informacja z wykonania budżetów powiatów za   IV Kwartały 2025 roku    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">
      <c r="B64" s="48" t="s">
        <v>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6" spans="2:12" ht="13.5" customHeight="1" x14ac:dyDescent="0.2">
      <c r="B66" s="76" t="s">
        <v>0</v>
      </c>
      <c r="C66" s="77"/>
      <c r="D66" s="77"/>
      <c r="E66" s="78"/>
      <c r="F66" s="56" t="s">
        <v>68</v>
      </c>
      <c r="G66" s="33" t="s">
        <v>74</v>
      </c>
      <c r="H66" s="60"/>
      <c r="I66" s="60"/>
      <c r="J66" s="60"/>
      <c r="K66" s="60"/>
      <c r="L66" s="61"/>
    </row>
    <row r="67" spans="2:12" ht="13.5" customHeight="1" x14ac:dyDescent="0.2">
      <c r="B67" s="79"/>
      <c r="C67" s="80"/>
      <c r="D67" s="80"/>
      <c r="E67" s="81"/>
      <c r="F67" s="57"/>
      <c r="G67" s="59" t="s">
        <v>69</v>
      </c>
      <c r="H67" s="32" t="s">
        <v>66</v>
      </c>
      <c r="I67" s="32" t="s">
        <v>67</v>
      </c>
      <c r="J67" s="32" t="s">
        <v>70</v>
      </c>
      <c r="K67" s="32" t="s">
        <v>71</v>
      </c>
      <c r="L67" s="36" t="s">
        <v>72</v>
      </c>
    </row>
    <row r="68" spans="2:12" ht="13.5" customHeight="1" x14ac:dyDescent="0.2">
      <c r="B68" s="79"/>
      <c r="C68" s="80"/>
      <c r="D68" s="80"/>
      <c r="E68" s="81"/>
      <c r="F68" s="57"/>
      <c r="G68" s="59"/>
      <c r="H68" s="32"/>
      <c r="I68" s="32"/>
      <c r="J68" s="32"/>
      <c r="K68" s="32"/>
      <c r="L68" s="36"/>
    </row>
    <row r="69" spans="2:12" ht="11.25" customHeight="1" x14ac:dyDescent="0.2">
      <c r="B69" s="79"/>
      <c r="C69" s="80"/>
      <c r="D69" s="80"/>
      <c r="E69" s="81"/>
      <c r="F69" s="57"/>
      <c r="G69" s="59"/>
      <c r="H69" s="32"/>
      <c r="I69" s="32"/>
      <c r="J69" s="32"/>
      <c r="K69" s="32"/>
      <c r="L69" s="36"/>
    </row>
    <row r="70" spans="2:12" ht="11.25" customHeight="1" x14ac:dyDescent="0.2">
      <c r="B70" s="82"/>
      <c r="C70" s="83"/>
      <c r="D70" s="83"/>
      <c r="E70" s="84"/>
      <c r="F70" s="58"/>
      <c r="G70" s="59"/>
      <c r="H70" s="32"/>
      <c r="I70" s="32"/>
      <c r="J70" s="32"/>
      <c r="K70" s="32"/>
      <c r="L70" s="36"/>
    </row>
    <row r="71" spans="2:12" ht="11.25" customHeight="1" x14ac:dyDescent="0.2">
      <c r="B71" s="32">
        <v>1</v>
      </c>
      <c r="C71" s="32"/>
      <c r="D71" s="32"/>
      <c r="E71" s="32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32"/>
      <c r="C72" s="32"/>
      <c r="D72" s="32"/>
      <c r="E72" s="32"/>
      <c r="F72" s="33" t="s">
        <v>76</v>
      </c>
      <c r="G72" s="34"/>
      <c r="H72" s="34"/>
      <c r="I72" s="34"/>
      <c r="J72" s="34"/>
      <c r="K72" s="34"/>
      <c r="L72" s="35"/>
    </row>
    <row r="73" spans="2:12" ht="33.75" customHeight="1" x14ac:dyDescent="0.2">
      <c r="B73" s="53" t="s">
        <v>53</v>
      </c>
      <c r="C73" s="54"/>
      <c r="D73" s="54"/>
      <c r="E73" s="55"/>
      <c r="F73" s="26">
        <f>527581522.26</f>
        <v>527581522.25999999</v>
      </c>
      <c r="G73" s="26">
        <f>285092903.04</f>
        <v>285092903.04000002</v>
      </c>
      <c r="H73" s="26">
        <f>47928222.04</f>
        <v>47928222.039999999</v>
      </c>
      <c r="I73" s="26">
        <f>5149217.03</f>
        <v>5149217.03</v>
      </c>
      <c r="J73" s="26">
        <f>225505544.13</f>
        <v>225505544.13</v>
      </c>
      <c r="K73" s="26">
        <f>6509919.84</f>
        <v>6509919.8399999999</v>
      </c>
      <c r="L73" s="26">
        <f>242488619.22</f>
        <v>242488619.22</v>
      </c>
    </row>
    <row r="74" spans="2:12" ht="33.75" customHeight="1" x14ac:dyDescent="0.2">
      <c r="B74" s="53" t="s">
        <v>54</v>
      </c>
      <c r="C74" s="54"/>
      <c r="D74" s="54"/>
      <c r="E74" s="55"/>
      <c r="F74" s="26">
        <f>0</f>
        <v>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0</f>
        <v>0</v>
      </c>
    </row>
    <row r="75" spans="2:12" ht="33.75" customHeight="1" x14ac:dyDescent="0.2">
      <c r="B75" s="53" t="s">
        <v>55</v>
      </c>
      <c r="C75" s="54"/>
      <c r="D75" s="54"/>
      <c r="E75" s="55"/>
      <c r="F75" s="26">
        <f>101682312.43</f>
        <v>101682312.43000001</v>
      </c>
      <c r="G75" s="26">
        <f>56893805.7</f>
        <v>56893805.700000003</v>
      </c>
      <c r="H75" s="26">
        <f>0</f>
        <v>0</v>
      </c>
      <c r="I75" s="26">
        <f>0</f>
        <v>0</v>
      </c>
      <c r="J75" s="26">
        <f>56893805.7</f>
        <v>56893805.700000003</v>
      </c>
      <c r="K75" s="26">
        <f>0</f>
        <v>0</v>
      </c>
      <c r="L75" s="26">
        <f>44788506.73</f>
        <v>44788506.729999997</v>
      </c>
    </row>
    <row r="76" spans="2:12" ht="22.5" customHeight="1" x14ac:dyDescent="0.2">
      <c r="B76" s="53" t="s">
        <v>56</v>
      </c>
      <c r="C76" s="54"/>
      <c r="D76" s="54"/>
      <c r="E76" s="55"/>
      <c r="F76" s="26">
        <f>49235336.45</f>
        <v>49235336.450000003</v>
      </c>
      <c r="G76" s="26">
        <f>20405696.25</f>
        <v>20405696.25</v>
      </c>
      <c r="H76" s="26">
        <f>0</f>
        <v>0</v>
      </c>
      <c r="I76" s="26">
        <f>0</f>
        <v>0</v>
      </c>
      <c r="J76" s="26">
        <f>20405696.25</f>
        <v>20405696.25</v>
      </c>
      <c r="K76" s="26">
        <f>0</f>
        <v>0</v>
      </c>
      <c r="L76" s="26">
        <f>28829640.2</f>
        <v>28829640.199999999</v>
      </c>
    </row>
    <row r="77" spans="2:12" ht="33.75" customHeight="1" x14ac:dyDescent="0.2">
      <c r="B77" s="53" t="s">
        <v>57</v>
      </c>
      <c r="C77" s="54"/>
      <c r="D77" s="54"/>
      <c r="E77" s="55"/>
      <c r="F77" s="26">
        <f>13729737.39</f>
        <v>13729737.390000001</v>
      </c>
      <c r="G77" s="26">
        <f>13729737.39</f>
        <v>13729737.390000001</v>
      </c>
      <c r="H77" s="26">
        <f>0</f>
        <v>0</v>
      </c>
      <c r="I77" s="26">
        <f>0</f>
        <v>0</v>
      </c>
      <c r="J77" s="26">
        <f>13729737.39</f>
        <v>13729737.390000001</v>
      </c>
      <c r="K77" s="26">
        <f>0</f>
        <v>0</v>
      </c>
      <c r="L77" s="26">
        <f>0</f>
        <v>0</v>
      </c>
    </row>
    <row r="78" spans="2:12" ht="33.75" customHeight="1" x14ac:dyDescent="0.2">
      <c r="B78" s="53" t="s">
        <v>58</v>
      </c>
      <c r="C78" s="54"/>
      <c r="D78" s="54"/>
      <c r="E78" s="55"/>
      <c r="F78" s="26">
        <f>6396161.65</f>
        <v>6396161.6500000004</v>
      </c>
      <c r="G78" s="26">
        <f>1684075.51</f>
        <v>1684075.51</v>
      </c>
      <c r="H78" s="26">
        <f>0</f>
        <v>0</v>
      </c>
      <c r="I78" s="26">
        <f>0</f>
        <v>0</v>
      </c>
      <c r="J78" s="26">
        <f>1684075.51</f>
        <v>1684075.51</v>
      </c>
      <c r="K78" s="26">
        <f>0</f>
        <v>0</v>
      </c>
      <c r="L78" s="26">
        <f>4712086.14</f>
        <v>4712086.1399999997</v>
      </c>
    </row>
    <row r="79" spans="2:12" ht="22.5" customHeight="1" x14ac:dyDescent="0.2">
      <c r="B79" s="53" t="s">
        <v>59</v>
      </c>
      <c r="C79" s="54"/>
      <c r="D79" s="54"/>
      <c r="E79" s="55"/>
      <c r="F79" s="26">
        <f>1589067.8</f>
        <v>1589067.8</v>
      </c>
      <c r="G79" s="26">
        <f>1214725.62</f>
        <v>1214725.6200000001</v>
      </c>
      <c r="H79" s="26">
        <f>0</f>
        <v>0</v>
      </c>
      <c r="I79" s="26">
        <f>0</f>
        <v>0</v>
      </c>
      <c r="J79" s="26">
        <f>1214725.62</f>
        <v>1214725.6200000001</v>
      </c>
      <c r="K79" s="26">
        <f>0</f>
        <v>0</v>
      </c>
      <c r="L79" s="26">
        <f>374342.18</f>
        <v>374342.18</v>
      </c>
    </row>
    <row r="82" spans="1:13" ht="75" customHeight="1" x14ac:dyDescent="0.2">
      <c r="A82" s="47" t="str">
        <f>CONCATENATE("Informacja z wykonania budżetów powiatów za   ",$C$90," ",$B$91," roku    ",$B$93,"")</f>
        <v xml:space="preserve">Informacja z wykonania budżetów powiatów za   IV Kwartały 2025 roku    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3.5" customHeight="1" x14ac:dyDescent="0.2">
      <c r="B83" s="4"/>
    </row>
    <row r="84" spans="1:13" ht="13.5" customHeight="1" x14ac:dyDescent="0.2">
      <c r="B84" s="5"/>
      <c r="C84" s="33"/>
      <c r="D84" s="60"/>
      <c r="E84" s="60"/>
      <c r="F84" s="61"/>
      <c r="G84" s="33" t="s">
        <v>3</v>
      </c>
      <c r="H84" s="61"/>
      <c r="I84" s="33" t="s">
        <v>4</v>
      </c>
      <c r="J84" s="61"/>
      <c r="K84" s="5"/>
    </row>
    <row r="85" spans="1:13" ht="13.5" customHeight="1" x14ac:dyDescent="0.2">
      <c r="B85" s="6"/>
      <c r="C85" s="66" t="s">
        <v>5</v>
      </c>
      <c r="D85" s="67"/>
      <c r="E85" s="67"/>
      <c r="F85" s="68"/>
      <c r="G85" s="62">
        <f>238</f>
        <v>238</v>
      </c>
      <c r="H85" s="63"/>
      <c r="I85" s="64">
        <f>2308176723.63</f>
        <v>2308176723.6300001</v>
      </c>
      <c r="J85" s="65"/>
      <c r="K85" s="7"/>
    </row>
    <row r="86" spans="1:13" ht="13.5" customHeight="1" x14ac:dyDescent="0.2">
      <c r="B86" s="6"/>
      <c r="C86" s="69" t="s">
        <v>6</v>
      </c>
      <c r="D86" s="70"/>
      <c r="E86" s="70"/>
      <c r="F86" s="71"/>
      <c r="G86" s="72">
        <f>76</f>
        <v>76</v>
      </c>
      <c r="H86" s="73"/>
      <c r="I86" s="74">
        <f>-465830686.13</f>
        <v>-465830686.13</v>
      </c>
      <c r="J86" s="75"/>
      <c r="K86" s="7"/>
    </row>
    <row r="87" spans="1:13" ht="13.5" customHeight="1" x14ac:dyDescent="0.2">
      <c r="B87" s="6"/>
      <c r="C87" s="66" t="s">
        <v>7</v>
      </c>
      <c r="D87" s="67"/>
      <c r="E87" s="67"/>
      <c r="F87" s="68"/>
      <c r="G87" s="62">
        <f>0</f>
        <v>0</v>
      </c>
      <c r="H87" s="63"/>
      <c r="I87" s="64">
        <f>0</f>
        <v>0</v>
      </c>
      <c r="J87" s="65"/>
      <c r="K87" s="7"/>
    </row>
    <row r="90" spans="1:13" ht="13.5" customHeight="1" x14ac:dyDescent="0.2">
      <c r="A90" s="8" t="s">
        <v>8</v>
      </c>
      <c r="B90" s="8">
        <f>4</f>
        <v>4</v>
      </c>
      <c r="C90" s="8" t="str">
        <f>IF(B90=1,"I Kwartał",IF(B90=2,"II Kwartały",IF(B90=3,"III Kwartały",IF(B90=4,"IV Kwartały","-"))))</f>
        <v>IV Kwartały</v>
      </c>
    </row>
    <row r="91" spans="1:13" ht="13.5" customHeight="1" x14ac:dyDescent="0.2">
      <c r="A91" s="8" t="s">
        <v>9</v>
      </c>
      <c r="B91" s="8">
        <f>2025</f>
        <v>2025</v>
      </c>
      <c r="C91" s="9"/>
    </row>
    <row r="92" spans="1:13" ht="13.5" customHeight="1" x14ac:dyDescent="0.2">
      <c r="A92" s="8" t="s">
        <v>10</v>
      </c>
      <c r="B92" s="10" t="str">
        <f>"Mar 18 2026 12:00AM"</f>
        <v>Mar 18 2026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7:E77"/>
    <mergeCell ref="B74:E74"/>
    <mergeCell ref="M32:M35"/>
    <mergeCell ref="B73:E73"/>
    <mergeCell ref="F66:F70"/>
    <mergeCell ref="G67:G70"/>
    <mergeCell ref="G66:L66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F7:F10"/>
    <mergeCell ref="I7:I10"/>
    <mergeCell ref="J7:J10"/>
    <mergeCell ref="A31:A35"/>
    <mergeCell ref="C32:C35"/>
    <mergeCell ref="E32:E35"/>
    <mergeCell ref="B31:B35"/>
    <mergeCell ref="K67:K70"/>
    <mergeCell ref="H67:H70"/>
    <mergeCell ref="I67:I70"/>
    <mergeCell ref="J67:J70"/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2026-03-25T10:04:05Z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2026-03-25T11:04:03.6490966+01:00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GRN-ccac9047-6cc9-4794-a9ca-daca89823178</vt:lpwstr>
  </property>
  <property fmtid="{D5CDD505-2E9C-101B-9397-08002B2CF9AE}" pid="7" name="MFHash">
    <vt:lpwstr>k0AQnhclURrpvPrQ+sUwSGOV9hKLJLmlAHRyM7Lkgg4=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