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60" windowWidth="28800" windowHeight="11160" tabRatio="741" activeTab="0"/>
  </bookViews>
  <sheets>
    <sheet name="Opis" sheetId="1" r:id="rId1"/>
    <sheet name="OTS" sheetId="2" r:id="rId2"/>
    <sheet name="ROR" sheetId="3" r:id="rId3"/>
    <sheet name="DOR" sheetId="4" r:id="rId4"/>
    <sheet name="TOS" sheetId="5" r:id="rId5"/>
    <sheet name="COI" sheetId="6" r:id="rId6"/>
    <sheet name="EDO" sheetId="7" r:id="rId7"/>
    <sheet name="ROS" sheetId="8" r:id="rId8"/>
    <sheet name="ROD" sheetId="9" r:id="rId9"/>
    <sheet name="KOS" sheetId="10" r:id="rId10"/>
    <sheet name="POS" sheetId="11" r:id="rId11"/>
    <sheet name="IR" sheetId="12" r:id="rId12"/>
    <sheet name="RS" sheetId="13" r:id="rId13"/>
    <sheet name="DOS" sheetId="14" r:id="rId14"/>
    <sheet name="TOZ" sheetId="15" r:id="rId15"/>
    <sheet name="TZ" sheetId="16" r:id="rId16"/>
    <sheet name="SP" sheetId="17" r:id="rId17"/>
    <sheet name="Dictionary" sheetId="18" state="hidden" r:id="rId18"/>
  </sheets>
  <externalReferences>
    <externalReference r:id="rId21"/>
  </externalReferences>
  <definedNames>
    <definedName name="CenaEmisyjna">'Dictionary'!$C$10</definedName>
    <definedName name="CenaEmisyjna1">'Dictionary'!$C$45</definedName>
    <definedName name="CenaEmisyjna2">'Dictionary'!$C$46</definedName>
    <definedName name="CenaEmisyjna3">'Dictionary'!$C$47</definedName>
    <definedName name="CenaMin">'Dictionary'!$C$8</definedName>
    <definedName name="CenaSr">'Dictionary'!$C$9</definedName>
    <definedName name="CenaSubskrypcyjna">'Dictionary'!$C$11</definedName>
    <definedName name="czternasty_okres">'Dictionary'!$C$65</definedName>
    <definedName name="czwarty_okres">'Dictionary'!$C$55</definedName>
    <definedName name="DataPrzetargu">'Dictionary'!$C$6</definedName>
    <definedName name="drugi_okres">'Dictionary'!$C$53</definedName>
    <definedName name="dwudziesty_okres">'Dictionary'!$C$71</definedName>
    <definedName name="dwudziestyczwarty_okres">'Dictionary'!$C$75</definedName>
    <definedName name="dwudziestydrugi_okres">'Dictionary'!$C$73</definedName>
    <definedName name="dwudziestypierwszy_okres">'Dictionary'!$C$72</definedName>
    <definedName name="dwudziestytrzeci_okres">'Dictionary'!$C$74</definedName>
    <definedName name="dwunasty_okres">'Dictionary'!$C$63</definedName>
    <definedName name="dziesiąty_okres">'Dictionary'!$C$61</definedName>
    <definedName name="dziewiąty_okres">'Dictionary'!$C$60</definedName>
    <definedName name="dziewiętnasty_okres">'Dictionary'!$C$70</definedName>
    <definedName name="EighthYear">'Dictionary'!$C$38</definedName>
    <definedName name="EleventhYear">'Dictionary'!$C$41</definedName>
    <definedName name="FifthYear">'Dictionary'!$C$35</definedName>
    <definedName name="FirstYear">'Dictionary'!$C$31</definedName>
    <definedName name="FollYears">'Dictionary'!$C$43</definedName>
    <definedName name="FourthYear">'Dictionary'!$C$34</definedName>
    <definedName name="ISIN" localSheetId="16">'Dictionary'!$C$44</definedName>
    <definedName name="ISIN">'Dictionary'!$C$44</definedName>
    <definedName name="jedenasty_okres">'Dictionary'!$C$62</definedName>
    <definedName name="Koniec">'Dictionary'!$C$18</definedName>
    <definedName name="KoniecSprzedazy" localSheetId="16">'Dictionary'!$C$16</definedName>
    <definedName name="KoniecSprzedazy">'Dictionary'!$C$16</definedName>
    <definedName name="Marża">'Dictionary'!$C$22</definedName>
    <definedName name="Mnożnik">'Dictionary'!$C$23</definedName>
    <definedName name="NinthYear">'Dictionary'!$C$39</definedName>
    <definedName name="Odsetki">'Dictionary'!$C$21</definedName>
    <definedName name="Oprocentowanie">'Dictionary'!$C$20</definedName>
    <definedName name="osiemnasty_okres">'Dictionary'!$C$69</definedName>
    <definedName name="ósmy_okres">'Dictionary'!$C$59</definedName>
    <definedName name="piąty_okres">'Dictionary'!$C$56</definedName>
    <definedName name="pierwszy_okres">'Dictionary'!$C$52</definedName>
    <definedName name="piętnasty_okres">'Dictionary'!$C$66</definedName>
    <definedName name="Poczatek">'Dictionary'!$C$17</definedName>
    <definedName name="PoczatekSprzedazy" localSheetId="16">'Dictionary'!$C$15</definedName>
    <definedName name="PoczatekSprzedazy">'Dictionary'!$C$15</definedName>
    <definedName name="Podaz">'Dictionary'!$C$12</definedName>
    <definedName name="Popyt">'Dictionary'!$C$13</definedName>
    <definedName name="Przetarg">'Dictionary'!$C$5</definedName>
    <definedName name="SecondYear">'Dictionary'!$C$32</definedName>
    <definedName name="Seria" localSheetId="16">'Dictionary'!$C$3</definedName>
    <definedName name="Seria">'Dictionary'!$C$3</definedName>
    <definedName name="SeventhYear">'Dictionary'!$C$37</definedName>
    <definedName name="Siec">'Dictionary'!$C$26</definedName>
    <definedName name="siedemnasty_okres">'Dictionary'!$C$68</definedName>
    <definedName name="siódmy_okres">'Dictionary'!$C$58</definedName>
    <definedName name="Sixth_Year">'Dictionary'!$C$36</definedName>
    <definedName name="SixthYear">'Dictionary'!$C$36</definedName>
    <definedName name="SixYear">'Dictionary'!$C$36</definedName>
    <definedName name="Sprzedaz">'Dictionary'!$C$14</definedName>
    <definedName name="Subskrypcja">'Dictionary'!$C$19</definedName>
    <definedName name="subskrypcja2">'Dictionary'!$C$25</definedName>
    <definedName name="switch">'Dictionary'!$C$49</definedName>
    <definedName name="switch_price">'Dictionary'!$C$50</definedName>
    <definedName name="szesnasty_okres">'Dictionary'!$C$67</definedName>
    <definedName name="szósty_okres">'Dictionary'!$C$57</definedName>
    <definedName name="TenthYear">'Dictionary'!$C$40</definedName>
    <definedName name="ThirdYear">'Dictionary'!$C$33</definedName>
    <definedName name="trzeci_okres">'Dictionary'!$C$54</definedName>
    <definedName name="trzynasty_okres">'Dictionary'!$C$64</definedName>
    <definedName name="TwelfthYear">'Dictionary'!$C$42</definedName>
    <definedName name="Wybor">'Dictionary'!$A$1</definedName>
    <definedName name="Wykup" localSheetId="16">'Dictionary'!$C$4</definedName>
    <definedName name="Wykup">'Dictionary'!$C$4</definedName>
    <definedName name="WykupCOI">'Dictionary'!$C$27</definedName>
    <definedName name="wykupKOS">'Dictionary'!$C$29</definedName>
    <definedName name="wykupOTS">'Dictionary'!$C$30</definedName>
    <definedName name="wykupROR">'Dictionary'!$C$28</definedName>
    <definedName name="Zamiana">'Dictionary'!$C$24</definedName>
    <definedName name="Zaplata">'Dictionary'!$C$7</definedName>
  </definedNames>
  <calcPr fullCalcOnLoad="1"/>
</workbook>
</file>

<file path=xl/sharedStrings.xml><?xml version="1.0" encoding="utf-8"?>
<sst xmlns="http://schemas.openxmlformats.org/spreadsheetml/2006/main" count="4670" uniqueCount="2983">
  <si>
    <t>Seria</t>
  </si>
  <si>
    <t>Data wykupu</t>
  </si>
  <si>
    <t>Oprocentowanie</t>
  </si>
  <si>
    <t>Data przetargu</t>
  </si>
  <si>
    <t>Data zapłaty</t>
  </si>
  <si>
    <t>Cena min.</t>
  </si>
  <si>
    <t>Cena śr.</t>
  </si>
  <si>
    <t>Popyt</t>
  </si>
  <si>
    <t>-</t>
  </si>
  <si>
    <t>Sprzedaż w sieci</t>
  </si>
  <si>
    <t>Subskrypcja</t>
  </si>
  <si>
    <t>Odsetki</t>
  </si>
  <si>
    <t>Cena emisyjna</t>
  </si>
  <si>
    <t>IR0695</t>
  </si>
  <si>
    <t>IR0995</t>
  </si>
  <si>
    <t>IR1295</t>
  </si>
  <si>
    <t xml:space="preserve">IR0396 </t>
  </si>
  <si>
    <t xml:space="preserve">IR0696 </t>
  </si>
  <si>
    <t>IR0996</t>
  </si>
  <si>
    <t>IR1296</t>
  </si>
  <si>
    <t>IR0397</t>
  </si>
  <si>
    <t>IR0697</t>
  </si>
  <si>
    <t>IR0997</t>
  </si>
  <si>
    <t>IR1297</t>
  </si>
  <si>
    <t>IR0398</t>
  </si>
  <si>
    <t>IR0698</t>
  </si>
  <si>
    <t>IR0998</t>
  </si>
  <si>
    <t>IR1298</t>
  </si>
  <si>
    <t>IR0399</t>
  </si>
  <si>
    <t>IR0699</t>
  </si>
  <si>
    <t>IR0999</t>
  </si>
  <si>
    <t>IR1299</t>
  </si>
  <si>
    <t>IR0300</t>
  </si>
  <si>
    <t>Początek sprzedaży</t>
  </si>
  <si>
    <t>RS0799</t>
  </si>
  <si>
    <t>RS1099</t>
  </si>
  <si>
    <r>
      <t>RS0700</t>
    </r>
    <r>
      <rPr>
        <b/>
        <vertAlign val="superscript"/>
        <sz val="10"/>
        <color indexed="10"/>
        <rFont val="Arial"/>
        <family val="2"/>
      </rPr>
      <t>1)</t>
    </r>
  </si>
  <si>
    <r>
      <t>RS1000</t>
    </r>
    <r>
      <rPr>
        <b/>
        <vertAlign val="superscript"/>
        <sz val="10"/>
        <color indexed="10"/>
        <rFont val="Arial"/>
        <family val="2"/>
      </rPr>
      <t>2)</t>
    </r>
  </si>
  <si>
    <t>Koniec sprzedaży</t>
  </si>
  <si>
    <t>DOS0601</t>
  </si>
  <si>
    <t>DOS0701</t>
  </si>
  <si>
    <t>DOS0801</t>
  </si>
  <si>
    <t>DOS0901</t>
  </si>
  <si>
    <t>DOS1001</t>
  </si>
  <si>
    <t>DOS1101</t>
  </si>
  <si>
    <t>DOS1201</t>
  </si>
  <si>
    <t>DOS0102</t>
  </si>
  <si>
    <t>DOS0202</t>
  </si>
  <si>
    <t>DOS0302</t>
  </si>
  <si>
    <t>Cena subskrypcyjna</t>
  </si>
  <si>
    <t>PPT1</t>
  </si>
  <si>
    <t>PPT2</t>
  </si>
  <si>
    <t>PPT3</t>
  </si>
  <si>
    <t>PPT4</t>
  </si>
  <si>
    <t>PPT5</t>
  </si>
  <si>
    <t>PPT6</t>
  </si>
  <si>
    <t>PPT7</t>
  </si>
  <si>
    <t>PPT8</t>
  </si>
  <si>
    <t>TZ0897</t>
  </si>
  <si>
    <t>TZ1197</t>
  </si>
  <si>
    <t>TZ0298</t>
  </si>
  <si>
    <t>TZ0598</t>
  </si>
  <si>
    <t>TZ0898</t>
  </si>
  <si>
    <t>TZ1198</t>
  </si>
  <si>
    <t>TZ0299</t>
  </si>
  <si>
    <t>TZ0599</t>
  </si>
  <si>
    <t>TZ0899</t>
  </si>
  <si>
    <t>TZ1199</t>
  </si>
  <si>
    <t>TZ0200</t>
  </si>
  <si>
    <t>TZ0500</t>
  </si>
  <si>
    <t>TZ0800</t>
  </si>
  <si>
    <t>TZ1100</t>
  </si>
  <si>
    <t>TZ0201</t>
  </si>
  <si>
    <t>TZ0501</t>
  </si>
  <si>
    <t>TZ0801</t>
  </si>
  <si>
    <t>TZ1101</t>
  </si>
  <si>
    <t>TZ0202</t>
  </si>
  <si>
    <t>TZ0502</t>
  </si>
  <si>
    <t>TZ0802</t>
  </si>
  <si>
    <t>TZ1102</t>
  </si>
  <si>
    <t>TZ0203</t>
  </si>
  <si>
    <t>TZ0503</t>
  </si>
  <si>
    <t>COI1003</t>
  </si>
  <si>
    <t>COI1103</t>
  </si>
  <si>
    <t>COI1203</t>
  </si>
  <si>
    <t>COI0104</t>
  </si>
  <si>
    <t>COI0204</t>
  </si>
  <si>
    <t>COI0304</t>
  </si>
  <si>
    <t>Początek</t>
  </si>
  <si>
    <t>Koniec</t>
  </si>
  <si>
    <t>PPJ1</t>
  </si>
  <si>
    <t>PPJ2</t>
  </si>
  <si>
    <t>PPJ3</t>
  </si>
  <si>
    <t>PPJ4</t>
  </si>
  <si>
    <t>PPJ5</t>
  </si>
  <si>
    <t>PPJ6</t>
  </si>
  <si>
    <t>PPJ7</t>
  </si>
  <si>
    <t>PPJ8</t>
  </si>
  <si>
    <t>Subskrypcja/zamiana</t>
  </si>
  <si>
    <t>PL</t>
  </si>
  <si>
    <t>ENG</t>
  </si>
  <si>
    <t>Series</t>
  </si>
  <si>
    <t>Maturity</t>
  </si>
  <si>
    <t>Przetarg</t>
  </si>
  <si>
    <t>Auction</t>
  </si>
  <si>
    <t>Auction date</t>
  </si>
  <si>
    <t>Settlement</t>
  </si>
  <si>
    <t>Min. price</t>
  </si>
  <si>
    <t>Avr. price</t>
  </si>
  <si>
    <t>Demand</t>
  </si>
  <si>
    <t>Issue price</t>
  </si>
  <si>
    <t>Subscription price</t>
  </si>
  <si>
    <t>Coupon rate</t>
  </si>
  <si>
    <t>End</t>
  </si>
  <si>
    <t>Start</t>
  </si>
  <si>
    <t xml:space="preserve"> of subscription</t>
  </si>
  <si>
    <t>Sale in customers service outlets</t>
  </si>
  <si>
    <t>Subscription</t>
  </si>
  <si>
    <t xml:space="preserve"> years from day of purchase</t>
  </si>
  <si>
    <t>Podaż</t>
  </si>
  <si>
    <t>Offer</t>
  </si>
  <si>
    <t>COI0404</t>
  </si>
  <si>
    <t>COI0504</t>
  </si>
  <si>
    <t>DOS0402</t>
  </si>
  <si>
    <t>DOS0502</t>
  </si>
  <si>
    <t>Kod ISIN</t>
  </si>
  <si>
    <t>ISIN Code</t>
  </si>
  <si>
    <t>PL0000101713</t>
  </si>
  <si>
    <t>PL0000101382</t>
  </si>
  <si>
    <t>PL0000101457</t>
  </si>
  <si>
    <t>PL0000101507</t>
  </si>
  <si>
    <t>PL0000101523</t>
  </si>
  <si>
    <t>PL0000101572</t>
  </si>
  <si>
    <t>PL0000101655</t>
  </si>
  <si>
    <t>PL0000101697</t>
  </si>
  <si>
    <t>PL0000020024</t>
  </si>
  <si>
    <t>PL0000020032</t>
  </si>
  <si>
    <t>PL0000100087</t>
  </si>
  <si>
    <t>PL0000100137</t>
  </si>
  <si>
    <t>PL0000100145</t>
  </si>
  <si>
    <t>PL0000100152</t>
  </si>
  <si>
    <t>PL0000100160</t>
  </si>
  <si>
    <t>PL0000100228</t>
  </si>
  <si>
    <t>PL0000100244</t>
  </si>
  <si>
    <t>PL0000100285</t>
  </si>
  <si>
    <t>PL0000100343</t>
  </si>
  <si>
    <t>PL0000100384</t>
  </si>
  <si>
    <t>PL0000100426</t>
  </si>
  <si>
    <t>PL0000100475</t>
  </si>
  <si>
    <t>PL0000100525</t>
  </si>
  <si>
    <t>PL0000100608</t>
  </si>
  <si>
    <t>PL0000100640</t>
  </si>
  <si>
    <t>PL0000100699</t>
  </si>
  <si>
    <t>PL0000100749</t>
  </si>
  <si>
    <t>PL0000100798</t>
  </si>
  <si>
    <t>PL0000100848</t>
  </si>
  <si>
    <t>PL0000100905</t>
  </si>
  <si>
    <t>PL0000100939</t>
  </si>
  <si>
    <t>PL0000101069</t>
  </si>
  <si>
    <t>PL0000101077</t>
  </si>
  <si>
    <t>PL0000101085</t>
  </si>
  <si>
    <t>PL0000101093</t>
  </si>
  <si>
    <t>PL0000101283</t>
  </si>
  <si>
    <t>PL0000101341</t>
  </si>
  <si>
    <t>PL0000101515</t>
  </si>
  <si>
    <t>PL0000101671</t>
  </si>
  <si>
    <t>PL0000101291</t>
  </si>
  <si>
    <t>PL0000101317</t>
  </si>
  <si>
    <t>PL0000101325</t>
  </si>
  <si>
    <t>PL0000101408</t>
  </si>
  <si>
    <t>PL0000101465</t>
  </si>
  <si>
    <t>PL0000101499</t>
  </si>
  <si>
    <t>PL0000101531</t>
  </si>
  <si>
    <t>PL0000101580</t>
  </si>
  <si>
    <t>PL0000101648</t>
  </si>
  <si>
    <t>PL0000101689</t>
  </si>
  <si>
    <t>PL0000101705</t>
  </si>
  <si>
    <t>PL0000101275</t>
  </si>
  <si>
    <t>PL0000101119</t>
  </si>
  <si>
    <t>PL0000101267</t>
  </si>
  <si>
    <t>PL0000101333</t>
  </si>
  <si>
    <t>PL0000101101</t>
  </si>
  <si>
    <t>PL0000010017</t>
  </si>
  <si>
    <t>PL0000010025</t>
  </si>
  <si>
    <t>PL0000010033</t>
  </si>
  <si>
    <t>PL0000010041</t>
  </si>
  <si>
    <t>PL0000010058</t>
  </si>
  <si>
    <t>PL0000010066</t>
  </si>
  <si>
    <t>PL0000010074</t>
  </si>
  <si>
    <t>PL0000010082</t>
  </si>
  <si>
    <t>PL0000010090</t>
  </si>
  <si>
    <t>PL0000010108</t>
  </si>
  <si>
    <t>PL0000010116</t>
  </si>
  <si>
    <t>PL0000010124</t>
  </si>
  <si>
    <t>PL0000100376</t>
  </si>
  <si>
    <t>PL0000100392</t>
  </si>
  <si>
    <t>PL0000100459</t>
  </si>
  <si>
    <t>PL0000100483</t>
  </si>
  <si>
    <t>PL0000100533</t>
  </si>
  <si>
    <t>PL0000100657</t>
  </si>
  <si>
    <t>PL0000100582</t>
  </si>
  <si>
    <t>PL0000100681</t>
  </si>
  <si>
    <t>PL0000100764</t>
  </si>
  <si>
    <t>PL0000100830</t>
  </si>
  <si>
    <t>PL0000100889</t>
  </si>
  <si>
    <t>PL0000101036</t>
  </si>
  <si>
    <t>PL0000020016</t>
  </si>
  <si>
    <t>PL0000101028</t>
  </si>
  <si>
    <t>PL0000100947</t>
  </si>
  <si>
    <t>PL0000101002</t>
  </si>
  <si>
    <t>PL0000101010</t>
  </si>
  <si>
    <t>Sale beginning</t>
  </si>
  <si>
    <t>Sale end</t>
  </si>
  <si>
    <t>TZ0803</t>
  </si>
  <si>
    <t>PL0000101762</t>
  </si>
  <si>
    <t>DOS0602</t>
  </si>
  <si>
    <t>DOS0702</t>
  </si>
  <si>
    <t>PL0000101747</t>
  </si>
  <si>
    <t>PL0000101820</t>
  </si>
  <si>
    <t>COI0604</t>
  </si>
  <si>
    <t>COI0704</t>
  </si>
  <si>
    <t>PL0000101754</t>
  </si>
  <si>
    <t>PL0000101812</t>
  </si>
  <si>
    <t>DOS0802</t>
  </si>
  <si>
    <t>PL0000101846</t>
  </si>
  <si>
    <t>PL0000101853</t>
  </si>
  <si>
    <t>DOS0902</t>
  </si>
  <si>
    <t>COI0804</t>
  </si>
  <si>
    <t>COI0904</t>
  </si>
  <si>
    <t>TZ1103</t>
  </si>
  <si>
    <t>PL0000101861</t>
  </si>
  <si>
    <t>PL0000101879</t>
  </si>
  <si>
    <t>PL0000101895</t>
  </si>
  <si>
    <t>DOS1002</t>
  </si>
  <si>
    <t>PL0000101911</t>
  </si>
  <si>
    <t>COI1004</t>
  </si>
  <si>
    <t>PL0000101903</t>
  </si>
  <si>
    <t>DOS1102</t>
  </si>
  <si>
    <t>COI1104</t>
  </si>
  <si>
    <t>PL0000101952</t>
  </si>
  <si>
    <t>PL0000101945</t>
  </si>
  <si>
    <t>TZ0204</t>
  </si>
  <si>
    <t>PL0000101994</t>
  </si>
  <si>
    <t>DOS1202</t>
  </si>
  <si>
    <t>DOS0103</t>
  </si>
  <si>
    <t>DOS0203</t>
  </si>
  <si>
    <t>PL0000101986</t>
  </si>
  <si>
    <t>PL0000102018</t>
  </si>
  <si>
    <t>COI1204</t>
  </si>
  <si>
    <t>COI0105</t>
  </si>
  <si>
    <t>COI0205</t>
  </si>
  <si>
    <t>PL0000101978</t>
  </si>
  <si>
    <t>PL0000102000</t>
  </si>
  <si>
    <t>PL0000102034</t>
  </si>
  <si>
    <t>PL0000102042</t>
  </si>
  <si>
    <t>DOS0303</t>
  </si>
  <si>
    <t>DOS0403</t>
  </si>
  <si>
    <t>DOS0503</t>
  </si>
  <si>
    <t>COI0305</t>
  </si>
  <si>
    <t>COI0405</t>
  </si>
  <si>
    <t>COI0505</t>
  </si>
  <si>
    <t>TZ0504</t>
  </si>
  <si>
    <t>PL0000102109</t>
  </si>
  <si>
    <t>PL0000102117</t>
  </si>
  <si>
    <t>PL0000102091</t>
  </si>
  <si>
    <t>PL0000102075</t>
  </si>
  <si>
    <t>PL0000102067</t>
  </si>
  <si>
    <t>TZ0804</t>
  </si>
  <si>
    <t>DOS0603</t>
  </si>
  <si>
    <t>COI0605</t>
  </si>
  <si>
    <t>COI0705</t>
  </si>
  <si>
    <t>DOS0703</t>
  </si>
  <si>
    <t>PL0000102190</t>
  </si>
  <si>
    <t>PL0000102208</t>
  </si>
  <si>
    <t>PL0000102182</t>
  </si>
  <si>
    <t>PL0000102166</t>
  </si>
  <si>
    <t>PL0000102174</t>
  </si>
  <si>
    <t>PL0000102133</t>
  </si>
  <si>
    <t>PL0000102141</t>
  </si>
  <si>
    <t>COI0805</t>
  </si>
  <si>
    <t>COI0905</t>
  </si>
  <si>
    <t>COI1005</t>
  </si>
  <si>
    <t>PL0000102299</t>
  </si>
  <si>
    <t>PL0000102273</t>
  </si>
  <si>
    <t>TZ1104</t>
  </si>
  <si>
    <t>PL0000102281</t>
  </si>
  <si>
    <t>DOS0803</t>
  </si>
  <si>
    <t>DOS0903</t>
  </si>
  <si>
    <t>DOS1003</t>
  </si>
  <si>
    <t>PL0000102307</t>
  </si>
  <si>
    <t>PL0000102265</t>
  </si>
  <si>
    <t>PL0000102240</t>
  </si>
  <si>
    <t>PL0000102132</t>
  </si>
  <si>
    <t>TZ0205</t>
  </si>
  <si>
    <t>PL0000102406</t>
  </si>
  <si>
    <t>DOS1103</t>
  </si>
  <si>
    <t>DOS1203</t>
  </si>
  <si>
    <t>PL0000102323</t>
  </si>
  <si>
    <t>PL0000102364</t>
  </si>
  <si>
    <t>COI1105</t>
  </si>
  <si>
    <t>COI1205</t>
  </si>
  <si>
    <t>PL0000102315</t>
  </si>
  <si>
    <t>PL0000102372</t>
  </si>
  <si>
    <t>Issue price in 1-st period</t>
  </si>
  <si>
    <t>Issue price in 2-nd period</t>
  </si>
  <si>
    <t>Issue price in 3-rd period</t>
  </si>
  <si>
    <t>SP1206</t>
  </si>
  <si>
    <t>PL0000102380</t>
  </si>
  <si>
    <t>Cena emisyjna w I okresie</t>
  </si>
  <si>
    <t>Cena emisyjna w II okresie</t>
  </si>
  <si>
    <t>Cena emisyjna w III okresie</t>
  </si>
  <si>
    <t>DOS0104</t>
  </si>
  <si>
    <t>DOS0204</t>
  </si>
  <si>
    <t>DOS0304</t>
  </si>
  <si>
    <t>PL0000102414</t>
  </si>
  <si>
    <t>PL0000102547</t>
  </si>
  <si>
    <t>PL0000102562</t>
  </si>
  <si>
    <t>COI0106</t>
  </si>
  <si>
    <t>COI0206</t>
  </si>
  <si>
    <t>COI0306</t>
  </si>
  <si>
    <t>PL0000102544</t>
  </si>
  <si>
    <t>PL0000102570</t>
  </si>
  <si>
    <t>SP0307</t>
  </si>
  <si>
    <t>PL0000102588</t>
  </si>
  <si>
    <t>DOS0404</t>
  </si>
  <si>
    <t>PL0000102612</t>
  </si>
  <si>
    <t>COI0406</t>
  </si>
  <si>
    <t>PL0000102620</t>
  </si>
  <si>
    <t>TZ0505</t>
  </si>
  <si>
    <t>PL0000102596</t>
  </si>
  <si>
    <t>DOS0504</t>
  </si>
  <si>
    <t>PL0000102653</t>
  </si>
  <si>
    <t>COI0506</t>
  </si>
  <si>
    <t>PL0000102661</t>
  </si>
  <si>
    <t>DOS0604</t>
  </si>
  <si>
    <t>PL0000102687</t>
  </si>
  <si>
    <t>TZ0805</t>
  </si>
  <si>
    <t>PL0000102711</t>
  </si>
  <si>
    <t>COI0606</t>
  </si>
  <si>
    <t>PL0000102695</t>
  </si>
  <si>
    <t>SP0607</t>
  </si>
  <si>
    <t>PL0000102703</t>
  </si>
  <si>
    <t>COI0706</t>
  </si>
  <si>
    <t>PL0000102729</t>
  </si>
  <si>
    <t>DOS0704</t>
  </si>
  <si>
    <t>PL0000102737</t>
  </si>
  <si>
    <t>DOS0804</t>
  </si>
  <si>
    <t>PL0000102752</t>
  </si>
  <si>
    <t>COI0806</t>
  </si>
  <si>
    <t>COI0906</t>
  </si>
  <si>
    <t>COI1006</t>
  </si>
  <si>
    <t>PL0000102745</t>
  </si>
  <si>
    <t>PL0000102778</t>
  </si>
  <si>
    <t>PL0000102810</t>
  </si>
  <si>
    <t>DOS0904</t>
  </si>
  <si>
    <t>DOS1004</t>
  </si>
  <si>
    <t>PL0000102786</t>
  </si>
  <si>
    <t>PL0000102828</t>
  </si>
  <si>
    <t>TZ1105</t>
  </si>
  <si>
    <t>PL0000102802</t>
  </si>
  <si>
    <t>SP0907</t>
  </si>
  <si>
    <t>PL0000102794</t>
  </si>
  <si>
    <t>TZ0206</t>
  </si>
  <si>
    <t>PL0000102919</t>
  </si>
  <si>
    <t>DOS1104</t>
  </si>
  <si>
    <t>DOS1204</t>
  </si>
  <si>
    <t>PL0000102851</t>
  </si>
  <si>
    <t>PL0000102885</t>
  </si>
  <si>
    <t>COI1106</t>
  </si>
  <si>
    <t>COI1206</t>
  </si>
  <si>
    <t>PL0000102844</t>
  </si>
  <si>
    <t>PL0000102893</t>
  </si>
  <si>
    <t>SP1207</t>
  </si>
  <si>
    <t>PL0000102901</t>
  </si>
  <si>
    <t>DOS0105</t>
  </si>
  <si>
    <t>DOS0205</t>
  </si>
  <si>
    <t>COI0107</t>
  </si>
  <si>
    <t>COI0207</t>
  </si>
  <si>
    <t>PL0000102927</t>
  </si>
  <si>
    <t>PL0000102950</t>
  </si>
  <si>
    <t>PL0000102935</t>
  </si>
  <si>
    <t>PL0000102943</t>
  </si>
  <si>
    <t>DOS0305</t>
  </si>
  <si>
    <t>DOS0405</t>
  </si>
  <si>
    <t>COI0307</t>
  </si>
  <si>
    <t>PL0000102976</t>
  </si>
  <si>
    <t>COI0407</t>
  </si>
  <si>
    <t>PL0000103008</t>
  </si>
  <si>
    <t>SP0308</t>
  </si>
  <si>
    <t>PL0000102984</t>
  </si>
  <si>
    <t>TZ0506</t>
  </si>
  <si>
    <t>COI0507</t>
  </si>
  <si>
    <t>PL0000103032</t>
  </si>
  <si>
    <t>DOS0505</t>
  </si>
  <si>
    <t>DOS0605</t>
  </si>
  <si>
    <t>DOS0705</t>
  </si>
  <si>
    <t>DOS0805</t>
  </si>
  <si>
    <t>COI0607</t>
  </si>
  <si>
    <t>COI0707</t>
  </si>
  <si>
    <t>COI0807</t>
  </si>
  <si>
    <t>SP0608</t>
  </si>
  <si>
    <t>TZ0806</t>
  </si>
  <si>
    <t>DOS0905</t>
  </si>
  <si>
    <t>DOS1005</t>
  </si>
  <si>
    <t>COI0907</t>
  </si>
  <si>
    <t>COI1007</t>
  </si>
  <si>
    <t>SP0908</t>
  </si>
  <si>
    <t>DOS1105</t>
  </si>
  <si>
    <t>DOS1205</t>
  </si>
  <si>
    <t>COI1107</t>
  </si>
  <si>
    <t>COI1207</t>
  </si>
  <si>
    <t>SP1208</t>
  </si>
  <si>
    <t>TZ1106</t>
  </si>
  <si>
    <t>PL0000102992</t>
  </si>
  <si>
    <t>PL0000103115</t>
  </si>
  <si>
    <t>PL0000103057</t>
  </si>
  <si>
    <t>PL0000103081</t>
  </si>
  <si>
    <t>PL0000103123</t>
  </si>
  <si>
    <t>PL0000103149</t>
  </si>
  <si>
    <t>PL0000103172</t>
  </si>
  <si>
    <t>PL0000103198</t>
  </si>
  <si>
    <t>PL0000103230</t>
  </si>
  <si>
    <t>PL0000103073</t>
  </si>
  <si>
    <t>PL0000103164</t>
  </si>
  <si>
    <t>DOS0106</t>
  </si>
  <si>
    <t>DOS0206</t>
  </si>
  <si>
    <t>DOS0306</t>
  </si>
  <si>
    <t>DOS0406</t>
  </si>
  <si>
    <t>TZ0207</t>
  </si>
  <si>
    <t>COI0108</t>
  </si>
  <si>
    <t>COI0208</t>
  </si>
  <si>
    <t>COI0308</t>
  </si>
  <si>
    <t>SP0309</t>
  </si>
  <si>
    <t>PL0000102968</t>
  </si>
  <si>
    <t>PL0000103040</t>
  </si>
  <si>
    <t>PL0000103065</t>
  </si>
  <si>
    <t>PL0000103099</t>
  </si>
  <si>
    <t>PL0000103131</t>
  </si>
  <si>
    <t>PL0000103156</t>
  </si>
  <si>
    <t>PL0000103180</t>
  </si>
  <si>
    <t>PL0000103206</t>
  </si>
  <si>
    <t>PL0000103248</t>
  </si>
  <si>
    <t>PL0000103289</t>
  </si>
  <si>
    <t>PL0000103321</t>
  </si>
  <si>
    <t>PL0000103354</t>
  </si>
  <si>
    <t>PL0000103396</t>
  </si>
  <si>
    <t>PL0000103016</t>
  </si>
  <si>
    <t>PL0000103214</t>
  </si>
  <si>
    <t>PL0000103339</t>
  </si>
  <si>
    <t>PL0000103313</t>
  </si>
  <si>
    <t>PL0000103347</t>
  </si>
  <si>
    <t>PL0000103388</t>
  </si>
  <si>
    <t>PL0000103271</t>
  </si>
  <si>
    <t>PL0000103255</t>
  </si>
  <si>
    <t>PL0000103362</t>
  </si>
  <si>
    <t>COI0408</t>
  </si>
  <si>
    <t>DOS0506</t>
  </si>
  <si>
    <t>PL0000103412</t>
  </si>
  <si>
    <t>TZ0507</t>
  </si>
  <si>
    <t>PL0000103420</t>
  </si>
  <si>
    <t>COI0508</t>
  </si>
  <si>
    <t>PL0000103404</t>
  </si>
  <si>
    <t xml:space="preserve"> 99,4 / 98,4</t>
  </si>
  <si>
    <t>PL0000102422</t>
  </si>
  <si>
    <t>DOS0606</t>
  </si>
  <si>
    <t>DOS0706</t>
  </si>
  <si>
    <t>PL0000103446</t>
  </si>
  <si>
    <t>PL0000103479</t>
  </si>
  <si>
    <t>COI0608</t>
  </si>
  <si>
    <t>COI0708</t>
  </si>
  <si>
    <t>PL0000103453</t>
  </si>
  <si>
    <t>PL0000103487</t>
  </si>
  <si>
    <t>SP0609</t>
  </si>
  <si>
    <t>PL0000103461</t>
  </si>
  <si>
    <t>DOS0806</t>
  </si>
  <si>
    <t>PL0000103503</t>
  </si>
  <si>
    <t>TZ0807</t>
  </si>
  <si>
    <t>PL0000103495</t>
  </si>
  <si>
    <t>COI0808</t>
  </si>
  <si>
    <t>PL0000103511</t>
  </si>
  <si>
    <t>DOS0906</t>
  </si>
  <si>
    <t>PL0000103560</t>
  </si>
  <si>
    <t>COI0908</t>
  </si>
  <si>
    <t>SP0909</t>
  </si>
  <si>
    <t>PL0000103545</t>
  </si>
  <si>
    <t>DOS1006</t>
  </si>
  <si>
    <t>PL0000103586</t>
  </si>
  <si>
    <t>PL0000103552</t>
  </si>
  <si>
    <t>COI1008</t>
  </si>
  <si>
    <t>PL0000103578</t>
  </si>
  <si>
    <t>EDO1014</t>
  </si>
  <si>
    <t>PL0000103594</t>
  </si>
  <si>
    <t>99,9 / 101,20</t>
  </si>
  <si>
    <t>DOS1106</t>
  </si>
  <si>
    <t>PL0000103610</t>
  </si>
  <si>
    <t>TZ1107</t>
  </si>
  <si>
    <t>PL0000103636</t>
  </si>
  <si>
    <t>COI1108</t>
  </si>
  <si>
    <t>PL0000103628</t>
  </si>
  <si>
    <t>EDO1114</t>
  </si>
  <si>
    <t>PL0000103644</t>
  </si>
  <si>
    <t>DOS1206</t>
  </si>
  <si>
    <t>PL0000103651</t>
  </si>
  <si>
    <t>COI1208</t>
  </si>
  <si>
    <t>PL0000103669</t>
  </si>
  <si>
    <t>SP1209</t>
  </si>
  <si>
    <t>PL0000103677</t>
  </si>
  <si>
    <t>EDO1214</t>
  </si>
  <si>
    <t>PL0000103685</t>
  </si>
  <si>
    <t>101,20 / 102,90</t>
  </si>
  <si>
    <t>DOS0107</t>
  </si>
  <si>
    <t>PL0000103701</t>
  </si>
  <si>
    <t>COI0109</t>
  </si>
  <si>
    <t>PL0000103719</t>
  </si>
  <si>
    <t>99,90 / 101,50/ 101,90</t>
  </si>
  <si>
    <t>EDO0115</t>
  </si>
  <si>
    <t>PL0000103727</t>
  </si>
  <si>
    <t>DOS0207</t>
  </si>
  <si>
    <t>PL0000103743</t>
  </si>
  <si>
    <t>TZ0208</t>
  </si>
  <si>
    <t>COI0209</t>
  </si>
  <si>
    <t>PL0000103750</t>
  </si>
  <si>
    <t>EDO0215</t>
  </si>
  <si>
    <t>PL0000103776</t>
  </si>
  <si>
    <t>EDO0315</t>
  </si>
  <si>
    <t>PL0000103784</t>
  </si>
  <si>
    <t>SP0310</t>
  </si>
  <si>
    <t>PL0000103792</t>
  </si>
  <si>
    <t>99,90/101,20</t>
  </si>
  <si>
    <t>101,9/102,90/104,50</t>
  </si>
  <si>
    <t>COI0309</t>
  </si>
  <si>
    <t>PL0000103818</t>
  </si>
  <si>
    <t>DOS0307</t>
  </si>
  <si>
    <t>PL0000103800</t>
  </si>
  <si>
    <t>PL0000103768</t>
  </si>
  <si>
    <t>DOS0407</t>
  </si>
  <si>
    <t>PL0000103826</t>
  </si>
  <si>
    <t>COI0409</t>
  </si>
  <si>
    <t>PL0000103834</t>
  </si>
  <si>
    <t>EDO0415</t>
  </si>
  <si>
    <t>PL0000103842</t>
  </si>
  <si>
    <t>2005-02-31</t>
  </si>
  <si>
    <t>EDO0515</t>
  </si>
  <si>
    <t>PL0000103883</t>
  </si>
  <si>
    <t>DOS0507</t>
  </si>
  <si>
    <t>PL0000103867</t>
  </si>
  <si>
    <t>COI0509</t>
  </si>
  <si>
    <t>PL0000103875</t>
  </si>
  <si>
    <t>TZ0508</t>
  </si>
  <si>
    <t>DOS0607</t>
  </si>
  <si>
    <t>PL0000103909</t>
  </si>
  <si>
    <t>COI0609</t>
  </si>
  <si>
    <t>PL0000103917</t>
  </si>
  <si>
    <t>PL0000103925</t>
  </si>
  <si>
    <t>99,50/100,90</t>
  </si>
  <si>
    <t>SP0610</t>
  </si>
  <si>
    <t>PL0000103933</t>
  </si>
  <si>
    <t>DOS0707</t>
  </si>
  <si>
    <t>PL0000103958</t>
  </si>
  <si>
    <t>COI0709</t>
  </si>
  <si>
    <t>PL0000103941</t>
  </si>
  <si>
    <t>EDO0715</t>
  </si>
  <si>
    <t>PL0000103966</t>
  </si>
  <si>
    <t>EDO0615</t>
  </si>
  <si>
    <t>EDO0815</t>
  </si>
  <si>
    <t>PL0000103990</t>
  </si>
  <si>
    <t>DOS0807</t>
  </si>
  <si>
    <t>PL0000103982</t>
  </si>
  <si>
    <t>COI0809</t>
  </si>
  <si>
    <t>PL0000103974</t>
  </si>
  <si>
    <t>TZ0808</t>
  </si>
  <si>
    <t>PL0000104006</t>
  </si>
  <si>
    <t>DOS0907</t>
  </si>
  <si>
    <t>COI0909</t>
  </si>
  <si>
    <t>PL0000104022</t>
  </si>
  <si>
    <t>SP0910</t>
  </si>
  <si>
    <t>PL0000104055</t>
  </si>
  <si>
    <t>EDO0915</t>
  </si>
  <si>
    <t>PL0000104048</t>
  </si>
  <si>
    <t>DOS1007</t>
  </si>
  <si>
    <t>PL0000104063</t>
  </si>
  <si>
    <t>PL0000104030</t>
  </si>
  <si>
    <t>COI1009</t>
  </si>
  <si>
    <t>PL0000104071</t>
  </si>
  <si>
    <t>EDO1015</t>
  </si>
  <si>
    <t>PL0000104089</t>
  </si>
  <si>
    <t>99/100,00</t>
  </si>
  <si>
    <t>DOS1107</t>
  </si>
  <si>
    <t>PL0000104105</t>
  </si>
  <si>
    <t>PL0000104121</t>
  </si>
  <si>
    <t>TZ1108</t>
  </si>
  <si>
    <t>COI1109</t>
  </si>
  <si>
    <t>PL0000104097</t>
  </si>
  <si>
    <t>EDO1115</t>
  </si>
  <si>
    <t>PL0000104113</t>
  </si>
  <si>
    <t>DOS1207</t>
  </si>
  <si>
    <t>PL0000104139</t>
  </si>
  <si>
    <t>COI1209</t>
  </si>
  <si>
    <t>PL0000104147</t>
  </si>
  <si>
    <t>SP1210</t>
  </si>
  <si>
    <t>PL0000104162</t>
  </si>
  <si>
    <t>EDO1215</t>
  </si>
  <si>
    <t>PL0000104154</t>
  </si>
  <si>
    <t>DOS0108</t>
  </si>
  <si>
    <t>PL0000104188</t>
  </si>
  <si>
    <t>COI0110</t>
  </si>
  <si>
    <t>PL0000104196</t>
  </si>
  <si>
    <t>EDO0116</t>
  </si>
  <si>
    <t>PL0000104204</t>
  </si>
  <si>
    <t>DOS0208</t>
  </si>
  <si>
    <t>COI0210</t>
  </si>
  <si>
    <t>TZ0209</t>
  </si>
  <si>
    <t>PL0000104246</t>
  </si>
  <si>
    <t>PL0000104212</t>
  </si>
  <si>
    <t>PL0000104220</t>
  </si>
  <si>
    <t>PL0000104238</t>
  </si>
  <si>
    <t>EDO0216</t>
  </si>
  <si>
    <t>DOS0308</t>
  </si>
  <si>
    <t>PL0000104253</t>
  </si>
  <si>
    <t>COI0310</t>
  </si>
  <si>
    <t>PL0000104261</t>
  </si>
  <si>
    <t>99,9/101,2</t>
  </si>
  <si>
    <t>EDO0316</t>
  </si>
  <si>
    <t>PL0000104279</t>
  </si>
  <si>
    <t>DOS0408</t>
  </si>
  <si>
    <t>PL0000104295</t>
  </si>
  <si>
    <t>COI0410</t>
  </si>
  <si>
    <t>PL0000104303</t>
  </si>
  <si>
    <t>EDO0416</t>
  </si>
  <si>
    <t>PL0000104311</t>
  </si>
  <si>
    <t>DOS0508</t>
  </si>
  <si>
    <t>PL0000104337</t>
  </si>
  <si>
    <t>COI0510</t>
  </si>
  <si>
    <t>PL0000104345</t>
  </si>
  <si>
    <t>EDO0516</t>
  </si>
  <si>
    <t>PL0000104352</t>
  </si>
  <si>
    <t>PL0000104329</t>
  </si>
  <si>
    <t>TZ0509</t>
  </si>
  <si>
    <t>PL0000103891</t>
  </si>
  <si>
    <t>DOS0608</t>
  </si>
  <si>
    <t>PL0000104378</t>
  </si>
  <si>
    <t>COI0610</t>
  </si>
  <si>
    <t>PL0000104386</t>
  </si>
  <si>
    <t>EDO0616</t>
  </si>
  <si>
    <t>PL0000104394</t>
  </si>
  <si>
    <t>DOS0708</t>
  </si>
  <si>
    <t>PL0000104402</t>
  </si>
  <si>
    <t>COI0710</t>
  </si>
  <si>
    <t>PL0000104410</t>
  </si>
  <si>
    <t>EDO0716</t>
  </si>
  <si>
    <t>PL0000104428</t>
  </si>
  <si>
    <t>DOS0808</t>
  </si>
  <si>
    <t>PL0000104451</t>
  </si>
  <si>
    <t>PL0000104436</t>
  </si>
  <si>
    <t>TZ0809</t>
  </si>
  <si>
    <t>COI0810</t>
  </si>
  <si>
    <t>PL0000104444</t>
  </si>
  <si>
    <t>EDO0816</t>
  </si>
  <si>
    <t>PL0000104469</t>
  </si>
  <si>
    <t>DOS0908</t>
  </si>
  <si>
    <t>PL0000104485</t>
  </si>
  <si>
    <t>COI0910</t>
  </si>
  <si>
    <t>PL0000104477</t>
  </si>
  <si>
    <t>EDO0916</t>
  </si>
  <si>
    <t>PL0000104493</t>
  </si>
  <si>
    <t>DOS1008</t>
  </si>
  <si>
    <t>PL0000104527</t>
  </si>
  <si>
    <t>PL0000104576</t>
  </si>
  <si>
    <t>COI1010</t>
  </si>
  <si>
    <t>PL0000104519</t>
  </si>
  <si>
    <t>COI1110</t>
  </si>
  <si>
    <t>PL0000104568</t>
  </si>
  <si>
    <t>EDO1016</t>
  </si>
  <si>
    <t>PL0000104535</t>
  </si>
  <si>
    <t>EDO1116</t>
  </si>
  <si>
    <t>PL0000104584</t>
  </si>
  <si>
    <t>DOS1108</t>
  </si>
  <si>
    <t>DOS1208</t>
  </si>
  <si>
    <t>PL0000104592</t>
  </si>
  <si>
    <t>COI1210</t>
  </si>
  <si>
    <t>PL0000104600</t>
  </si>
  <si>
    <t>PL0000104550</t>
  </si>
  <si>
    <t>TZ1109</t>
  </si>
  <si>
    <t>EDO1216</t>
  </si>
  <si>
    <t>PL0000104618</t>
  </si>
  <si>
    <t>EDO0117</t>
  </si>
  <si>
    <t>PL0000104642</t>
  </si>
  <si>
    <t>COI0111</t>
  </si>
  <si>
    <t>PL0000104634</t>
  </si>
  <si>
    <t>COI0211</t>
  </si>
  <si>
    <t>PL0000104683</t>
  </si>
  <si>
    <t>EDO0217</t>
  </si>
  <si>
    <t>PL0000104691</t>
  </si>
  <si>
    <t>DOS0109</t>
  </si>
  <si>
    <t xml:space="preserve">PL0000104626 </t>
  </si>
  <si>
    <t>DOS0209</t>
  </si>
  <si>
    <t>PL0000104675</t>
  </si>
  <si>
    <t>TZ0210</t>
  </si>
  <si>
    <t>PL0000104667</t>
  </si>
  <si>
    <t>DOS0309</t>
  </si>
  <si>
    <t>COI0311</t>
  </si>
  <si>
    <t>EDO0317</t>
  </si>
  <si>
    <t>DOS0409</t>
  </si>
  <si>
    <t>PL0000104758</t>
  </si>
  <si>
    <t>PL0000104725</t>
  </si>
  <si>
    <t>PL0000104733</t>
  </si>
  <si>
    <t>COI0411</t>
  </si>
  <si>
    <t>PL0000104766</t>
  </si>
  <si>
    <t>PL0000104741</t>
  </si>
  <si>
    <t>EDO0417</t>
  </si>
  <si>
    <t>PL0000104774</t>
  </si>
  <si>
    <t>DOS0509</t>
  </si>
  <si>
    <t>PL0000104790</t>
  </si>
  <si>
    <t>TZ0510</t>
  </si>
  <si>
    <t>PL0000104782</t>
  </si>
  <si>
    <t>COI0511</t>
  </si>
  <si>
    <t>PL0000104808</t>
  </si>
  <si>
    <t>EDO0517</t>
  </si>
  <si>
    <t>PL0000104816</t>
  </si>
  <si>
    <t>DOS0609</t>
  </si>
  <si>
    <t>PL0000104824</t>
  </si>
  <si>
    <t>COI0611</t>
  </si>
  <si>
    <t>PL0000104832</t>
  </si>
  <si>
    <t>EDO0617</t>
  </si>
  <si>
    <t>PL0000104840</t>
  </si>
  <si>
    <t>DOS0709</t>
  </si>
  <si>
    <t>PL0000104865</t>
  </si>
  <si>
    <t>COI0711</t>
  </si>
  <si>
    <t>PL0000104873</t>
  </si>
  <si>
    <t>EDO0717</t>
  </si>
  <si>
    <t>PL0000104881</t>
  </si>
  <si>
    <t>w tym zamiana</t>
  </si>
  <si>
    <t>Cena zamiany</t>
  </si>
  <si>
    <t>DOS0809</t>
  </si>
  <si>
    <t>PL0000104899</t>
  </si>
  <si>
    <t>TZ0810</t>
  </si>
  <si>
    <t>PL0000104923</t>
  </si>
  <si>
    <t>COI0811</t>
  </si>
  <si>
    <t>PL0000104907</t>
  </si>
  <si>
    <t>EDO0817</t>
  </si>
  <si>
    <t>PL0000104915</t>
  </si>
  <si>
    <t>DOS0909</t>
  </si>
  <si>
    <t>PL0000104931</t>
  </si>
  <si>
    <t>COI0911</t>
  </si>
  <si>
    <t>PL0000104949</t>
  </si>
  <si>
    <t>EDO0917</t>
  </si>
  <si>
    <t>DOS1009</t>
  </si>
  <si>
    <t>PL0000104964</t>
  </si>
  <si>
    <t>COI1011</t>
  </si>
  <si>
    <t>PL0000104972</t>
  </si>
  <si>
    <t>EDO1017</t>
  </si>
  <si>
    <t>PL0000104980</t>
  </si>
  <si>
    <t>DOS1109</t>
  </si>
  <si>
    <t>PL0000105003</t>
  </si>
  <si>
    <t>PL0000104998</t>
  </si>
  <si>
    <t>TZ1110</t>
  </si>
  <si>
    <t>COI1111</t>
  </si>
  <si>
    <t>PL0000105011</t>
  </si>
  <si>
    <t>EDO1117</t>
  </si>
  <si>
    <t>PL0000105029</t>
  </si>
  <si>
    <t>DOS1209</t>
  </si>
  <si>
    <t>PL0000105045</t>
  </si>
  <si>
    <t>COI1211</t>
  </si>
  <si>
    <t>PL0000105052</t>
  </si>
  <si>
    <t>EDO1217</t>
  </si>
  <si>
    <t>PL0000105060</t>
  </si>
  <si>
    <t>DOS0110</t>
  </si>
  <si>
    <t>PL0000105086</t>
  </si>
  <si>
    <t>COI0112</t>
  </si>
  <si>
    <t>PL0000105094</t>
  </si>
  <si>
    <t>EDO0118</t>
  </si>
  <si>
    <t>PL0000105102</t>
  </si>
  <si>
    <t>DOS0210</t>
  </si>
  <si>
    <t>TZ0211</t>
  </si>
  <si>
    <t>PL0000105110</t>
  </si>
  <si>
    <t>PL0000105128</t>
  </si>
  <si>
    <t>COI0212</t>
  </si>
  <si>
    <t>PL0000105136</t>
  </si>
  <si>
    <t>EDO0218</t>
  </si>
  <si>
    <t>PL0000105144</t>
  </si>
  <si>
    <t>DOS0310</t>
  </si>
  <si>
    <t xml:space="preserve"> PL0000105151</t>
  </si>
  <si>
    <t>COI0312</t>
  </si>
  <si>
    <t> PL0000105169</t>
  </si>
  <si>
    <t>PL0000105177</t>
  </si>
  <si>
    <t>DOS0410</t>
  </si>
  <si>
    <t xml:space="preserve"> PL0000105185</t>
  </si>
  <si>
    <t xml:space="preserve"> PL0000105193</t>
  </si>
  <si>
    <t>COI0412</t>
  </si>
  <si>
    <t>DOS0510</t>
  </si>
  <si>
    <t>PL0000105227</t>
  </si>
  <si>
    <t>COI0512</t>
  </si>
  <si>
    <t>PL0000105235</t>
  </si>
  <si>
    <t>EDO0518</t>
  </si>
  <si>
    <t>PL0000105243</t>
  </si>
  <si>
    <t>TZ0511</t>
  </si>
  <si>
    <t>PL0000105219</t>
  </si>
  <si>
    <t>DOS0610</t>
  </si>
  <si>
    <t>PL0000105250</t>
  </si>
  <si>
    <t>COI0612</t>
  </si>
  <si>
    <t>PL0000105268</t>
  </si>
  <si>
    <t>EDO0618</t>
  </si>
  <si>
    <t>PL0000105276</t>
  </si>
  <si>
    <t xml:space="preserve">PL0000105201 </t>
  </si>
  <si>
    <t>DOS0710</t>
  </si>
  <si>
    <t>PL0000105284</t>
  </si>
  <si>
    <t>COI0712</t>
  </si>
  <si>
    <t>PL0000105292</t>
  </si>
  <si>
    <t>EDO0718</t>
  </si>
  <si>
    <t>PL0000105300</t>
  </si>
  <si>
    <t>DOS0810</t>
  </si>
  <si>
    <t>PL0000105318</t>
  </si>
  <si>
    <t>COI0812</t>
  </si>
  <si>
    <t>PL0000105326</t>
  </si>
  <si>
    <t>EDO0818</t>
  </si>
  <si>
    <t>PL0000105334</t>
  </si>
  <si>
    <t>PL0000105342</t>
  </si>
  <si>
    <t>TZ0811</t>
  </si>
  <si>
    <t>DOS0910</t>
  </si>
  <si>
    <t>PL0000105367</t>
  </si>
  <si>
    <t>DOS1010</t>
  </si>
  <si>
    <t>PL0000105409</t>
  </si>
  <si>
    <t>COI0912</t>
  </si>
  <si>
    <t>PL0000105375</t>
  </si>
  <si>
    <t>COI1012</t>
  </si>
  <si>
    <t>PL0000105417</t>
  </si>
  <si>
    <t>EDO0918</t>
  </si>
  <si>
    <t>PL0000105383</t>
  </si>
  <si>
    <t>EDO1018</t>
  </si>
  <si>
    <t>PL0000105425</t>
  </si>
  <si>
    <t>DOS1110</t>
  </si>
  <si>
    <t>PL0000105466</t>
  </si>
  <si>
    <t>COI1112</t>
  </si>
  <si>
    <t>PL0000105474</t>
  </si>
  <si>
    <t>EDO1118</t>
  </si>
  <si>
    <t>PL0000105482</t>
  </si>
  <si>
    <t>TZ1111</t>
  </si>
  <si>
    <t>PL0000105458</t>
  </si>
  <si>
    <t>DOS1210</t>
  </si>
  <si>
    <t>PL0000105490</t>
  </si>
  <si>
    <t>DOS0111</t>
  </si>
  <si>
    <t>PL0000105532</t>
  </si>
  <si>
    <t>COI1212</t>
  </si>
  <si>
    <t>PL0000105508</t>
  </si>
  <si>
    <t>COI0113</t>
  </si>
  <si>
    <t>PL0000105540</t>
  </si>
  <si>
    <t>EDO1218</t>
  </si>
  <si>
    <t>PL0000105516</t>
  </si>
  <si>
    <t>EDO0119</t>
  </si>
  <si>
    <t>PL0000105557</t>
  </si>
  <si>
    <t>DOS0211</t>
  </si>
  <si>
    <t>PL0000105573</t>
  </si>
  <si>
    <t>COI0213</t>
  </si>
  <si>
    <t>PL0000105581</t>
  </si>
  <si>
    <t>EDO0219</t>
  </si>
  <si>
    <t>PL0000105599</t>
  </si>
  <si>
    <t>TZ0212</t>
  </si>
  <si>
    <t>PL0000105565</t>
  </si>
  <si>
    <t>DOS0311</t>
  </si>
  <si>
    <t>PL0000105607</t>
  </si>
  <si>
    <t>COI0313</t>
  </si>
  <si>
    <t>PL0000105615</t>
  </si>
  <si>
    <t>EDO0319</t>
  </si>
  <si>
    <t>PL0000105623</t>
  </si>
  <si>
    <t>DOS0411</t>
  </si>
  <si>
    <t xml:space="preserve"> PL0000105631</t>
  </si>
  <si>
    <t xml:space="preserve"> PL0000105649</t>
  </si>
  <si>
    <t>EDO0419</t>
  </si>
  <si>
    <t xml:space="preserve"> PL0000105656</t>
  </si>
  <si>
    <t>DOS0511</t>
  </si>
  <si>
    <t>PL0000105672</t>
  </si>
  <si>
    <t>TZ0512</t>
  </si>
  <si>
    <t>PL0000105664</t>
  </si>
  <si>
    <t>DOS0611</t>
  </si>
  <si>
    <t>PL0000105706</t>
  </si>
  <si>
    <t xml:space="preserve"> PL0000105714</t>
  </si>
  <si>
    <t>PL0000105680</t>
  </si>
  <si>
    <t>EDO0519</t>
  </si>
  <si>
    <t>PL0000105698</t>
  </si>
  <si>
    <t>EDO0619</t>
  </si>
  <si>
    <t>PL0000105722</t>
  </si>
  <si>
    <t>DOS0711</t>
  </si>
  <si>
    <t>PL0000105748</t>
  </si>
  <si>
    <t>DOS0811</t>
  </si>
  <si>
    <t>COI0713</t>
  </si>
  <si>
    <t>COI0813</t>
  </si>
  <si>
    <t xml:space="preserve">PL0000105789 </t>
  </si>
  <si>
    <t>PL0000105755</t>
  </si>
  <si>
    <t xml:space="preserve">PL0000105797 </t>
  </si>
  <si>
    <t>EDO0719</t>
  </si>
  <si>
    <t>PL0000105763</t>
  </si>
  <si>
    <t>EDO0819</t>
  </si>
  <si>
    <t>PL0000105805</t>
  </si>
  <si>
    <t>PL0000105771</t>
  </si>
  <si>
    <t>TZ0812</t>
  </si>
  <si>
    <t>DOS0911</t>
  </si>
  <si>
    <t>PL0000105813</t>
  </si>
  <si>
    <t>COI0913</t>
  </si>
  <si>
    <t>PL0000105821</t>
  </si>
  <si>
    <t>EDO0919</t>
  </si>
  <si>
    <t>PL0000105839</t>
  </si>
  <si>
    <t>EDO1019</t>
  </si>
  <si>
    <t>PL0000105862</t>
  </si>
  <si>
    <t>COI1013</t>
  </si>
  <si>
    <t>PL0000105854</t>
  </si>
  <si>
    <t>DOS1011</t>
  </si>
  <si>
    <t>PL0000105847</t>
  </si>
  <si>
    <t>DOS1111</t>
  </si>
  <si>
    <t>PL0000105870</t>
  </si>
  <si>
    <t>COI1113</t>
  </si>
  <si>
    <t>PL0000105888</t>
  </si>
  <si>
    <t>EDO1119</t>
  </si>
  <si>
    <t>PL0000105896</t>
  </si>
  <si>
    <t>TZ1112</t>
  </si>
  <si>
    <t>PL0000105904</t>
  </si>
  <si>
    <t>DOS1211</t>
  </si>
  <si>
    <t>PL0000105920</t>
  </si>
  <si>
    <t>COI1213</t>
  </si>
  <si>
    <t>PL0000105938</t>
  </si>
  <si>
    <t>EDO1219</t>
  </si>
  <si>
    <t>PL0000105946</t>
  </si>
  <si>
    <t>DOS0112</t>
  </si>
  <si>
    <t>COI0114</t>
  </si>
  <si>
    <t>EDO0120</t>
  </si>
  <si>
    <t>DOS0212</t>
  </si>
  <si>
    <t>PL0000106001</t>
  </si>
  <si>
    <t>PL0000105961</t>
  </si>
  <si>
    <t>TZ0213</t>
  </si>
  <si>
    <t>PL0000105995</t>
  </si>
  <si>
    <t>COI0214</t>
  </si>
  <si>
    <t>PL0000105979</t>
  </si>
  <si>
    <t>PL0000106019</t>
  </si>
  <si>
    <t>EDO0220</t>
  </si>
  <si>
    <t>PL0000105987</t>
  </si>
  <si>
    <t>PL0000106027</t>
  </si>
  <si>
    <t>DOS0312</t>
  </si>
  <si>
    <t>COI0314</t>
  </si>
  <si>
    <t>EDO0320</t>
  </si>
  <si>
    <t>DOS0412</t>
  </si>
  <si>
    <t>PL0000106035</t>
  </si>
  <si>
    <t>PL0000106076</t>
  </si>
  <si>
    <t>TZ0513</t>
  </si>
  <si>
    <t>COI0414</t>
  </si>
  <si>
    <t>PL0000106043</t>
  </si>
  <si>
    <t>PL0000106084</t>
  </si>
  <si>
    <t>EDO0420</t>
  </si>
  <si>
    <t>PL0000106092</t>
  </si>
  <si>
    <t>PL0000106050</t>
  </si>
  <si>
    <t>EDO0520</t>
  </si>
  <si>
    <t>PL0000106159</t>
  </si>
  <si>
    <t>COI0514</t>
  </si>
  <si>
    <t>PL0000106142</t>
  </si>
  <si>
    <t>PL0000106118</t>
  </si>
  <si>
    <t>DOS0512</t>
  </si>
  <si>
    <t>PL0000106134</t>
  </si>
  <si>
    <t>DOS0612</t>
  </si>
  <si>
    <t>COI0614</t>
  </si>
  <si>
    <t>EDO0620</t>
  </si>
  <si>
    <t>PL0000106183</t>
  </si>
  <si>
    <t>PL0000106175</t>
  </si>
  <si>
    <t>PL0000106167</t>
  </si>
  <si>
    <t>DOS0712</t>
  </si>
  <si>
    <t>COI0714</t>
  </si>
  <si>
    <t>EDO0720</t>
  </si>
  <si>
    <t>PL0000106191</t>
  </si>
  <si>
    <t>PL0000106209</t>
  </si>
  <si>
    <t>PL0000106217</t>
  </si>
  <si>
    <t>PL0000106225</t>
  </si>
  <si>
    <t>TZ0813</t>
  </si>
  <si>
    <t>DOS0812</t>
  </si>
  <si>
    <t>PL0000106233</t>
  </si>
  <si>
    <t>COI0814</t>
  </si>
  <si>
    <t>PL0000106241</t>
  </si>
  <si>
    <t>EDO0820</t>
  </si>
  <si>
    <t>PL0000106258</t>
  </si>
  <si>
    <t>DOS0912</t>
  </si>
  <si>
    <t>PL0000106266</t>
  </si>
  <si>
    <t>COI0914</t>
  </si>
  <si>
    <t>PL0000106274</t>
  </si>
  <si>
    <t>EDO0920</t>
  </si>
  <si>
    <t>PL0000106282</t>
  </si>
  <si>
    <t>DOS1012</t>
  </si>
  <si>
    <t>PL0000106290</t>
  </si>
  <si>
    <t>COI1014</t>
  </si>
  <si>
    <t>PL0000106308</t>
  </si>
  <si>
    <t>EDO1020</t>
  </si>
  <si>
    <t>PL0000106316</t>
  </si>
  <si>
    <t>PL0000106332</t>
  </si>
  <si>
    <t>TZ1113</t>
  </si>
  <si>
    <t>DOS1112</t>
  </si>
  <si>
    <t>PL0000106357</t>
  </si>
  <si>
    <t>PL0000106365</t>
  </si>
  <si>
    <t>PL0000106373</t>
  </si>
  <si>
    <t>COI1114</t>
  </si>
  <si>
    <t>EDO1120</t>
  </si>
  <si>
    <t>DOS1212</t>
  </si>
  <si>
    <t>PL0000106381</t>
  </si>
  <si>
    <t>COI1214</t>
  </si>
  <si>
    <t>PL0000106399</t>
  </si>
  <si>
    <t>EDO1220</t>
  </si>
  <si>
    <t>PL0000106407</t>
  </si>
  <si>
    <t>DOS0113</t>
  </si>
  <si>
    <t>PL0000106415</t>
  </si>
  <si>
    <t>PL0000106449</t>
  </si>
  <si>
    <t>TZ0214</t>
  </si>
  <si>
    <t>COI0115</t>
  </si>
  <si>
    <t>PL0000106423</t>
  </si>
  <si>
    <t>EDO0121</t>
  </si>
  <si>
    <r>
      <t>PL0000106431</t>
    </r>
    <r>
      <rPr>
        <sz val="10"/>
        <color indexed="62"/>
        <rFont val="Calibri"/>
        <family val="2"/>
      </rPr>
      <t xml:space="preserve"> </t>
    </r>
  </si>
  <si>
    <t>DOS0213</t>
  </si>
  <si>
    <t>DOS0313</t>
  </si>
  <si>
    <t>PL0000106498</t>
  </si>
  <si>
    <t>PL0000106456</t>
  </si>
  <si>
    <t>COI0215</t>
  </si>
  <si>
    <t>COI0315</t>
  </si>
  <si>
    <t>PL0000106464</t>
  </si>
  <si>
    <t>PL0000106506</t>
  </si>
  <si>
    <t>EDO0221</t>
  </si>
  <si>
    <t>EDO0321</t>
  </si>
  <si>
    <t>EDO0421</t>
  </si>
  <si>
    <t>EDO0521</t>
  </si>
  <si>
    <t>EDO0621</t>
  </si>
  <si>
    <t>EDO0721</t>
  </si>
  <si>
    <t>EDO0821</t>
  </si>
  <si>
    <t>EDO0921</t>
  </si>
  <si>
    <t>EDO1021</t>
  </si>
  <si>
    <t>PL0000106472</t>
  </si>
  <si>
    <t>PL0000106514</t>
  </si>
  <si>
    <t>DOS0413</t>
  </si>
  <si>
    <t>PL0000106522</t>
  </si>
  <si>
    <t>TZ0514</t>
  </si>
  <si>
    <t>COI0415</t>
  </si>
  <si>
    <t>PL0000106530</t>
  </si>
  <si>
    <t>PL0000106548</t>
  </si>
  <si>
    <t>DOS0513</t>
  </si>
  <si>
    <t>PL0000106571</t>
  </si>
  <si>
    <t>COI0515</t>
  </si>
  <si>
    <t>PL0000106589</t>
  </si>
  <si>
    <t>PL0000106597</t>
  </si>
  <si>
    <t>DOS0613</t>
  </si>
  <si>
    <t>COI0615</t>
  </si>
  <si>
    <t>PL0000106621</t>
  </si>
  <si>
    <t>PL0000106613</t>
  </si>
  <si>
    <t>PL0000106555</t>
  </si>
  <si>
    <t>PL0000106605</t>
  </si>
  <si>
    <t>DOS0713</t>
  </si>
  <si>
    <t>PL0000106639</t>
  </si>
  <si>
    <t>COI0715</t>
  </si>
  <si>
    <t>PL0000106647</t>
  </si>
  <si>
    <t>TZ0814</t>
  </si>
  <si>
    <t>PL0000106662</t>
  </si>
  <si>
    <t>DOS0813</t>
  </si>
  <si>
    <t xml:space="preserve">PL0000106688 </t>
  </si>
  <si>
    <t>COI0815</t>
  </si>
  <si>
    <r>
      <t>PL0000106696</t>
    </r>
    <r>
      <rPr>
        <b/>
        <sz val="11"/>
        <rFont val="Calibri"/>
        <family val="2"/>
      </rPr>
      <t xml:space="preserve"> </t>
    </r>
  </si>
  <si>
    <t>DOS0913</t>
  </si>
  <si>
    <t>PL0000106720</t>
  </si>
  <si>
    <t>COI0915</t>
  </si>
  <si>
    <t>PL0000106738</t>
  </si>
  <si>
    <t>PL0000106746</t>
  </si>
  <si>
    <t>DOS1013</t>
  </si>
  <si>
    <t>PL0000106753</t>
  </si>
  <si>
    <t>COI1015</t>
  </si>
  <si>
    <t>PL0000106761</t>
  </si>
  <si>
    <t>PL0000106779</t>
  </si>
  <si>
    <t>DOS1113</t>
  </si>
  <si>
    <t>PL0000106803</t>
  </si>
  <si>
    <t>COI1115</t>
  </si>
  <si>
    <t>PL0000106811</t>
  </si>
  <si>
    <t>EDO1121</t>
  </si>
  <si>
    <t>PL0000106829</t>
  </si>
  <si>
    <t>TZ1114</t>
  </si>
  <si>
    <t>PL0000106787</t>
  </si>
  <si>
    <t>DOS1213</t>
  </si>
  <si>
    <t>PL0000106837</t>
  </si>
  <si>
    <t>COI1215</t>
  </si>
  <si>
    <t>PL0000106845</t>
  </si>
  <si>
    <t>EDO1221</t>
  </si>
  <si>
    <t>PL0000106852</t>
  </si>
  <si>
    <t>DOS0114</t>
  </si>
  <si>
    <t>PL0000106860</t>
  </si>
  <si>
    <t>COI0116</t>
  </si>
  <si>
    <t>PL0000106878</t>
  </si>
  <si>
    <t>PL0000106886</t>
  </si>
  <si>
    <t>EDO0122</t>
  </si>
  <si>
    <t>PL0000106902</t>
  </si>
  <si>
    <t>TZ0215</t>
  </si>
  <si>
    <t>PL0000106894</t>
  </si>
  <si>
    <t>COI0216</t>
  </si>
  <si>
    <t>PL0000106910</t>
  </si>
  <si>
    <t>EDO0222</t>
  </si>
  <si>
    <t>PL0000106928</t>
  </si>
  <si>
    <t>DOS0214</t>
  </si>
  <si>
    <t>DOS0314</t>
  </si>
  <si>
    <t>COI0316</t>
  </si>
  <si>
    <t>EDO0322</t>
  </si>
  <si>
    <t>PL0000109644</t>
  </si>
  <si>
    <t>PL0000106951</t>
  </si>
  <si>
    <t>PL0000106969</t>
  </si>
  <si>
    <t>DOS0414</t>
  </si>
  <si>
    <t>PL0000106977</t>
  </si>
  <si>
    <t>COI0416</t>
  </si>
  <si>
    <t>PL0000106985</t>
  </si>
  <si>
    <t>EDO0422</t>
  </si>
  <si>
    <t>DOS0514</t>
  </si>
  <si>
    <t>PL0000107017</t>
  </si>
  <si>
    <t>COI0516</t>
  </si>
  <si>
    <t>EDO0522</t>
  </si>
  <si>
    <t>PL0000107025</t>
  </si>
  <si>
    <t>PL0000106993</t>
  </si>
  <si>
    <t>PL0000107041</t>
  </si>
  <si>
    <t>TOZ0515</t>
  </si>
  <si>
    <t>PL0000107033</t>
  </si>
  <si>
    <t>DOS0614</t>
  </si>
  <si>
    <t>PL0000107066</t>
  </si>
  <si>
    <t>TOZ0615</t>
  </si>
  <si>
    <t>PL0000107090</t>
  </si>
  <si>
    <t>COI0616</t>
  </si>
  <si>
    <t>PL0000107074</t>
  </si>
  <si>
    <t>EDO0622</t>
  </si>
  <si>
    <t>PL0000107082</t>
  </si>
  <si>
    <t>DOS0714</t>
  </si>
  <si>
    <t>PL0000107108</t>
  </si>
  <si>
    <t>TOZ0715</t>
  </si>
  <si>
    <t>COI0716</t>
  </si>
  <si>
    <t>PL0000107116</t>
  </si>
  <si>
    <t>EDO0722</t>
  </si>
  <si>
    <t>PL0000107124</t>
  </si>
  <si>
    <t>DOS0814</t>
  </si>
  <si>
    <t>PL0000107140</t>
  </si>
  <si>
    <t>TOZ0815</t>
  </si>
  <si>
    <t>PL0000107042</t>
  </si>
  <si>
    <t>PL0000107173</t>
  </si>
  <si>
    <t>COI0816</t>
  </si>
  <si>
    <t>PL0000107157</t>
  </si>
  <si>
    <t>EDO0822</t>
  </si>
  <si>
    <t>PL0000107165</t>
  </si>
  <si>
    <t>DOS0914</t>
  </si>
  <si>
    <t>PL0000107181</t>
  </si>
  <si>
    <t>TOZ0915</t>
  </si>
  <si>
    <t>PL0000107215</t>
  </si>
  <si>
    <t>COI0916</t>
  </si>
  <si>
    <t>PL0000107199</t>
  </si>
  <si>
    <t>EDO0922</t>
  </si>
  <si>
    <t>PL0000107207</t>
  </si>
  <si>
    <t>DOS1014</t>
  </si>
  <si>
    <t>PL0000107223</t>
  </si>
  <si>
    <t>TOZ1015</t>
  </si>
  <si>
    <t>PL0000107231</t>
  </si>
  <si>
    <t>COI1016</t>
  </si>
  <si>
    <t>PL0000107249</t>
  </si>
  <si>
    <t>EDO1022</t>
  </si>
  <si>
    <t>PL0000107256</t>
  </si>
  <si>
    <t>DOS1114</t>
  </si>
  <si>
    <t>PL0000107272</t>
  </si>
  <si>
    <t>TOZ1115</t>
  </si>
  <si>
    <t>PL0000107280</t>
  </si>
  <si>
    <t>COI1116</t>
  </si>
  <si>
    <t>EDO1122</t>
  </si>
  <si>
    <t>PL0000107306</t>
  </si>
  <si>
    <t>DOS1214</t>
  </si>
  <si>
    <t>PL0000107322</t>
  </si>
  <si>
    <t>TOZ1215</t>
  </si>
  <si>
    <t>PL0000107330</t>
  </si>
  <si>
    <t>COI1216</t>
  </si>
  <si>
    <t>PL0000107348</t>
  </si>
  <si>
    <t>EDO1222</t>
  </si>
  <si>
    <t>PL0000107355</t>
  </si>
  <si>
    <t>DOS1215</t>
  </si>
  <si>
    <t>DOS0115</t>
  </si>
  <si>
    <t>DOS0415</t>
  </si>
  <si>
    <t>DOS0215</t>
  </si>
  <si>
    <t>DOS0315</t>
  </si>
  <si>
    <t>DOS0515</t>
  </si>
  <si>
    <t>DOS0615</t>
  </si>
  <si>
    <t>DOS0715</t>
  </si>
  <si>
    <t>DOS0815</t>
  </si>
  <si>
    <t>DOS0915</t>
  </si>
  <si>
    <t>DOS1015</t>
  </si>
  <si>
    <t>DOS1115</t>
  </si>
  <si>
    <t>PL0000107363</t>
  </si>
  <si>
    <t>TOZ0116</t>
  </si>
  <si>
    <t>TOZ0216</t>
  </si>
  <si>
    <t>TOZ0316</t>
  </si>
  <si>
    <t>TOZ0416</t>
  </si>
  <si>
    <t>TOZ0516</t>
  </si>
  <si>
    <t>TOZ0616</t>
  </si>
  <si>
    <t>TOZ0716</t>
  </si>
  <si>
    <t>TOZ0816</t>
  </si>
  <si>
    <t>TOZ0916</t>
  </si>
  <si>
    <t>TOZ1016</t>
  </si>
  <si>
    <t>TOZ1116</t>
  </si>
  <si>
    <t>TOZ1216</t>
  </si>
  <si>
    <t>PL0000107371</t>
  </si>
  <si>
    <t>COI0117</t>
  </si>
  <si>
    <t>COI0217</t>
  </si>
  <si>
    <t>COI0317</t>
  </si>
  <si>
    <t>COI0417</t>
  </si>
  <si>
    <t>COI0517</t>
  </si>
  <si>
    <t>COI0617</t>
  </si>
  <si>
    <t>COI0717</t>
  </si>
  <si>
    <t>COI0817</t>
  </si>
  <si>
    <t>COI0917</t>
  </si>
  <si>
    <t>COI1017</t>
  </si>
  <si>
    <t>COI1117</t>
  </si>
  <si>
    <t>COI1217</t>
  </si>
  <si>
    <t>PL0000107389</t>
  </si>
  <si>
    <t>PL0000107397</t>
  </si>
  <si>
    <t>EDO0123</t>
  </si>
  <si>
    <t>EDO0223</t>
  </si>
  <si>
    <t>EDO0323</t>
  </si>
  <si>
    <t>EDO0423</t>
  </si>
  <si>
    <t>EDO0523</t>
  </si>
  <si>
    <t>EDO0623</t>
  </si>
  <si>
    <t>EDO0723</t>
  </si>
  <si>
    <t>EDO0823</t>
  </si>
  <si>
    <t>EDO0923</t>
  </si>
  <si>
    <t>EDO1023</t>
  </si>
  <si>
    <t>EDO1123</t>
  </si>
  <si>
    <t>EDO1223</t>
  </si>
  <si>
    <t>PL0000107413</t>
  </si>
  <si>
    <t>PL0000107439</t>
  </si>
  <si>
    <t>PL0000107421</t>
  </si>
  <si>
    <t>PL0000107447</t>
  </si>
  <si>
    <t>PL0000107462</t>
  </si>
  <si>
    <t>PL0000107470</t>
  </si>
  <si>
    <t>PL0000107488</t>
  </si>
  <si>
    <t>PL0000107496</t>
  </si>
  <si>
    <t>PL0000107504</t>
  </si>
  <si>
    <t>PL0000107512</t>
  </si>
  <si>
    <r>
      <t>PL0000107520</t>
    </r>
    <r>
      <rPr>
        <sz val="11"/>
        <rFont val="Meta Offc Pro Book"/>
        <family val="0"/>
      </rPr>
      <t xml:space="preserve"> </t>
    </r>
  </si>
  <si>
    <t>PL0000107538</t>
  </si>
  <si>
    <t>PL0000107456</t>
  </si>
  <si>
    <t>PL0000107579</t>
  </si>
  <si>
    <t>PL0000107553</t>
  </si>
  <si>
    <t>PL0000107561</t>
  </si>
  <si>
    <t>PL0000107629</t>
  </si>
  <si>
    <t>PL0000107652</t>
  </si>
  <si>
    <t>PL0000107637</t>
  </si>
  <si>
    <t>PL0000107645</t>
  </si>
  <si>
    <t>PL0000104956</t>
  </si>
  <si>
    <t>PL0000107686</t>
  </si>
  <si>
    <t>PL0000107678</t>
  </si>
  <si>
    <t>PL0000107660</t>
  </si>
  <si>
    <t>PL0000107694</t>
  </si>
  <si>
    <t xml:space="preserve"> lat od dnia zakupu</t>
  </si>
  <si>
    <t>in this by switch</t>
  </si>
  <si>
    <t>Sprzedaż łączna</t>
  </si>
  <si>
    <t>Total sale</t>
  </si>
  <si>
    <t>Switching price</t>
  </si>
  <si>
    <t>PL0000107736</t>
  </si>
  <si>
    <t>PL0000107728</t>
  </si>
  <si>
    <t>PL0000107744</t>
  </si>
  <si>
    <t>PL0000107710</t>
  </si>
  <si>
    <t>PL0000107751</t>
  </si>
  <si>
    <t>PL0000107785</t>
  </si>
  <si>
    <t>PL0000107769</t>
  </si>
  <si>
    <t>PL0000107777</t>
  </si>
  <si>
    <t>PL0000107793</t>
  </si>
  <si>
    <t>PL0000107827</t>
  </si>
  <si>
    <t>PL0000107801</t>
  </si>
  <si>
    <t xml:space="preserve"> PL0000107819</t>
  </si>
  <si>
    <t>PL0000107835</t>
  </si>
  <si>
    <t>PL0000107884</t>
  </si>
  <si>
    <t xml:space="preserve"> PL0000107868</t>
  </si>
  <si>
    <t>PL0000107918</t>
  </si>
  <si>
    <t>PL0000107843</t>
  </si>
  <si>
    <t>PL0000107892</t>
  </si>
  <si>
    <t>PL0000107850</t>
  </si>
  <si>
    <t xml:space="preserve"> PL0000107900</t>
  </si>
  <si>
    <t>DOS0116</t>
  </si>
  <si>
    <t>DOS0216</t>
  </si>
  <si>
    <t>PL0000107934</t>
  </si>
  <si>
    <t>COI0118</t>
  </si>
  <si>
    <t>COI0218</t>
  </si>
  <si>
    <t>PL0000107975</t>
  </si>
  <si>
    <t>PL0000107942</t>
  </si>
  <si>
    <t>PL0000107983</t>
  </si>
  <si>
    <t>EDO0124</t>
  </si>
  <si>
    <t>EDO0224</t>
  </si>
  <si>
    <t>PL0000107959</t>
  </si>
  <si>
    <t>PL0000107991</t>
  </si>
  <si>
    <t>TOZ0117</t>
  </si>
  <si>
    <t>TOZ0217</t>
  </si>
  <si>
    <t>PL0000107967</t>
  </si>
  <si>
    <t>PL0000108007</t>
  </si>
  <si>
    <t>KOS1214</t>
  </si>
  <si>
    <t>KOS0914</t>
  </si>
  <si>
    <t>PL0000107876</t>
  </si>
  <si>
    <t>PL0000108015</t>
  </si>
  <si>
    <t xml:space="preserve">1-5 m. 1%, 6-12 m. 3%, 13 m. 13% </t>
  </si>
  <si>
    <t xml:space="preserve">1 m. 1%, 2-6 m. 2%, 7 m. 7% </t>
  </si>
  <si>
    <t>EDO0324</t>
  </si>
  <si>
    <t>PL0000108023</t>
  </si>
  <si>
    <t>EDO0424</t>
  </si>
  <si>
    <t>PL0000108064</t>
  </si>
  <si>
    <t>COI0318</t>
  </si>
  <si>
    <t>COI0418</t>
  </si>
  <si>
    <t>PL0000108049</t>
  </si>
  <si>
    <t>PL0000108080</t>
  </si>
  <si>
    <t>PL0000107931</t>
  </si>
  <si>
    <t>PL0000107972</t>
  </si>
  <si>
    <t>TOZ0317</t>
  </si>
  <si>
    <t>TOZ0417</t>
  </si>
  <si>
    <t>PL0000108056</t>
  </si>
  <si>
    <t>PL0000108098</t>
  </si>
  <si>
    <t>DOS0316</t>
  </si>
  <si>
    <t>DOS0416</t>
  </si>
  <si>
    <t>DOS0516</t>
  </si>
  <si>
    <t>PL0000108106</t>
  </si>
  <si>
    <t>TOZ0517</t>
  </si>
  <si>
    <t>PL0000108130</t>
  </si>
  <si>
    <t>COI0518</t>
  </si>
  <si>
    <t>PL0000108122</t>
  </si>
  <si>
    <t>PL0000108114</t>
  </si>
  <si>
    <t>EDO0524</t>
  </si>
  <si>
    <t>EDO0624</t>
  </si>
  <si>
    <t>PL0000108171</t>
  </si>
  <si>
    <t>COI0618</t>
  </si>
  <si>
    <t>PL0000108163</t>
  </si>
  <si>
    <t>TOZ0617</t>
  </si>
  <si>
    <t>PL0000108189</t>
  </si>
  <si>
    <t>DOS0616</t>
  </si>
  <si>
    <t>PL0000108155</t>
  </si>
  <si>
    <t>DOS0716</t>
  </si>
  <si>
    <t>PL0000108205</t>
  </si>
  <si>
    <t>TOZ0717</t>
  </si>
  <si>
    <t>PL0000108239</t>
  </si>
  <si>
    <t>COI0718</t>
  </si>
  <si>
    <t xml:space="preserve"> PL0000108213</t>
  </si>
  <si>
    <t>EDO0724</t>
  </si>
  <si>
    <t>PL0000108221</t>
  </si>
  <si>
    <t>DOS0816</t>
  </si>
  <si>
    <t>PL0000108247</t>
  </si>
  <si>
    <t>TOZ0817</t>
  </si>
  <si>
    <t>PL0000108270</t>
  </si>
  <si>
    <t>COI0818</t>
  </si>
  <si>
    <t>PL0000108254</t>
  </si>
  <si>
    <t>EDO0824</t>
  </si>
  <si>
    <t>PL0000108262</t>
  </si>
  <si>
    <t>DOS0916</t>
  </si>
  <si>
    <t>PL0000108288</t>
  </si>
  <si>
    <t>TOZ0917</t>
  </si>
  <si>
    <t>PL0000108312</t>
  </si>
  <si>
    <t>COI0918</t>
  </si>
  <si>
    <t>PL0000108296</t>
  </si>
  <si>
    <t>EDO0924</t>
  </si>
  <si>
    <t>PL0000108304</t>
  </si>
  <si>
    <t>DOS1016</t>
  </si>
  <si>
    <t>PL0000108320</t>
  </si>
  <si>
    <t>TOZ1017</t>
  </si>
  <si>
    <t>PL0000108353</t>
  </si>
  <si>
    <t>COI1018</t>
  </si>
  <si>
    <t>PL0000108338</t>
  </si>
  <si>
    <t>EDO1024</t>
  </si>
  <si>
    <t>PL0000108346</t>
  </si>
  <si>
    <t>DOS1116</t>
  </si>
  <si>
    <t>DOS1216</t>
  </si>
  <si>
    <t>PL0000108361</t>
  </si>
  <si>
    <t>TOZ1117</t>
  </si>
  <si>
    <t>TOZ1217</t>
  </si>
  <si>
    <t>PL0000108395</t>
  </si>
  <si>
    <t>PL0000108437</t>
  </si>
  <si>
    <t>COI1118</t>
  </si>
  <si>
    <t>COI1218</t>
  </si>
  <si>
    <t>PL0000108379</t>
  </si>
  <si>
    <t>PL0000108411</t>
  </si>
  <si>
    <t>EDO1124</t>
  </si>
  <si>
    <t>EDO1224</t>
  </si>
  <si>
    <t>PL0000108387</t>
  </si>
  <si>
    <t>PL0000108429</t>
  </si>
  <si>
    <t>DOS0117</t>
  </si>
  <si>
    <t>PL0000108460</t>
  </si>
  <si>
    <t>TOZ0118</t>
  </si>
  <si>
    <t>PL0000108494</t>
  </si>
  <si>
    <t>COI0119</t>
  </si>
  <si>
    <t>PL0000108478</t>
  </si>
  <si>
    <t>EDO0125</t>
  </si>
  <si>
    <t>PL0000108486</t>
  </si>
  <si>
    <t>DOS0217</t>
  </si>
  <si>
    <t>TOZ0218</t>
  </si>
  <si>
    <t>PL0000108528</t>
  </si>
  <si>
    <t>PL0000108551</t>
  </si>
  <si>
    <t>COI0219</t>
  </si>
  <si>
    <t>PL0000108536</t>
  </si>
  <si>
    <t>EDO0225</t>
  </si>
  <si>
    <t>PL0000108403</t>
  </si>
  <si>
    <t>KOS0216</t>
  </si>
  <si>
    <t>PL0000108445</t>
  </si>
  <si>
    <t xml:space="preserve">1-3 m. 0,4%, 4-13 m. 1,4%, 14 m. 14,14% </t>
  </si>
  <si>
    <t>DOS0317</t>
  </si>
  <si>
    <t>PL0000108569</t>
  </si>
  <si>
    <t>TOZ0318</t>
  </si>
  <si>
    <t>PL0000108593</t>
  </si>
  <si>
    <t>COI0319</t>
  </si>
  <si>
    <t>PL0000108577</t>
  </si>
  <si>
    <t>EDO0325</t>
  </si>
  <si>
    <t>PL0000108585</t>
  </si>
  <si>
    <t>COI0413</t>
  </si>
  <si>
    <t>COI0513</t>
  </si>
  <si>
    <t>COI0613</t>
  </si>
  <si>
    <t>EDO0318</t>
  </si>
  <si>
    <t>EDO0418</t>
  </si>
  <si>
    <t>DOS0417</t>
  </si>
  <si>
    <t>PL0000108619</t>
  </si>
  <si>
    <t>TOZ0418</t>
  </si>
  <si>
    <t>PL0000108643</t>
  </si>
  <si>
    <t>COI0419</t>
  </si>
  <si>
    <t>PL0000108627</t>
  </si>
  <si>
    <t>EDO0425</t>
  </si>
  <si>
    <t>PL0000108635</t>
  </si>
  <si>
    <t>PL0000108650</t>
  </si>
  <si>
    <t>DOS0517</t>
  </si>
  <si>
    <t>TOZ0518</t>
  </si>
  <si>
    <t>PL0000108684</t>
  </si>
  <si>
    <t>COI0519</t>
  </si>
  <si>
    <t>PL0000108668</t>
  </si>
  <si>
    <t>EDO0525</t>
  </si>
  <si>
    <t>PL0000108676</t>
  </si>
  <si>
    <t>DOS0617</t>
  </si>
  <si>
    <t>PL0000108692</t>
  </si>
  <si>
    <t>TOZ0618</t>
  </si>
  <si>
    <t>PL0000108726</t>
  </si>
  <si>
    <t>COI0619</t>
  </si>
  <si>
    <t>PL0000108742</t>
  </si>
  <si>
    <t>EDO0625</t>
  </si>
  <si>
    <t>PL0000108718</t>
  </si>
  <si>
    <t>DOS0717</t>
  </si>
  <si>
    <t>EDO0725</t>
  </si>
  <si>
    <t>COI0719</t>
  </si>
  <si>
    <t>TOZ0718</t>
  </si>
  <si>
    <t>PL0000108734</t>
  </si>
  <si>
    <t>PL0000108767</t>
  </si>
  <si>
    <t>PL0000108700</t>
  </si>
  <si>
    <t>PL0000108759</t>
  </si>
  <si>
    <t>TOZ0818</t>
  </si>
  <si>
    <t>COI0819</t>
  </si>
  <si>
    <t>EDO0825</t>
  </si>
  <si>
    <t>DOS0817</t>
  </si>
  <si>
    <t>PL0000108775</t>
  </si>
  <si>
    <t>PL0000108809</t>
  </si>
  <si>
    <t>PL0000108783</t>
  </si>
  <si>
    <t>PL0000108791</t>
  </si>
  <si>
    <t>DOS0917</t>
  </si>
  <si>
    <t>EDO0925</t>
  </si>
  <si>
    <t>COI0919</t>
  </si>
  <si>
    <t>TOZ0918</t>
  </si>
  <si>
    <t>PL0000108825</t>
  </si>
  <si>
    <t>PL0000108858</t>
  </si>
  <si>
    <t>PL0000108833</t>
  </si>
  <si>
    <t>PL0000108841</t>
  </si>
  <si>
    <t>PL0000106654</t>
  </si>
  <si>
    <t>PL0000108874</t>
  </si>
  <si>
    <t>DOS1017</t>
  </si>
  <si>
    <t>TOZ1018</t>
  </si>
  <si>
    <t>PL0000108908</t>
  </si>
  <si>
    <t>COI1019</t>
  </si>
  <si>
    <t>PL0000108882</t>
  </si>
  <si>
    <t>PL0000108890</t>
  </si>
  <si>
    <t>EDO1025</t>
  </si>
  <si>
    <t>KOS1016</t>
  </si>
  <si>
    <t>1-2 m. 0,11%, 3-8 m. 1,11%, 9-10 m. 2,11%, 11 m. 11,11%</t>
  </si>
  <si>
    <t>PL0000108965</t>
  </si>
  <si>
    <t>DOS1117</t>
  </si>
  <si>
    <t>PL0000108924</t>
  </si>
  <si>
    <t>TOZ1118</t>
  </si>
  <si>
    <t>PL0000108957</t>
  </si>
  <si>
    <t>COI1119</t>
  </si>
  <si>
    <t>PL0000108932</t>
  </si>
  <si>
    <t>EDO1125</t>
  </si>
  <si>
    <t>PL0000108940</t>
  </si>
  <si>
    <t>COI1219</t>
  </si>
  <si>
    <t>EDO1225</t>
  </si>
  <si>
    <t>DOS1217</t>
  </si>
  <si>
    <t>TOZ1218</t>
  </si>
  <si>
    <t>PL0000108973</t>
  </si>
  <si>
    <t>PL0000109013</t>
  </si>
  <si>
    <t>PL0000108981</t>
  </si>
  <si>
    <t>PL0000108999</t>
  </si>
  <si>
    <t>PL0000109021</t>
  </si>
  <si>
    <t>TOZ0119</t>
  </si>
  <si>
    <t>DOS0118</t>
  </si>
  <si>
    <t>PL0000109054</t>
  </si>
  <si>
    <t>COI0120</t>
  </si>
  <si>
    <t>PL0000109039</t>
  </si>
  <si>
    <t>EDO0126</t>
  </si>
  <si>
    <t>PL0000109047</t>
  </si>
  <si>
    <t>DOS0218</t>
  </si>
  <si>
    <t>PL0000109070</t>
  </si>
  <si>
    <t>TOZ0219</t>
  </si>
  <si>
    <t>PL0000109104</t>
  </si>
  <si>
    <t>COI0220</t>
  </si>
  <si>
    <t>PL0000109088</t>
  </si>
  <si>
    <t>EDO0226</t>
  </si>
  <si>
    <t>PL0000109096</t>
  </si>
  <si>
    <t>DOS0318</t>
  </si>
  <si>
    <t>PL0000109112</t>
  </si>
  <si>
    <t>TOZ0319</t>
  </si>
  <si>
    <t>PL0000109146</t>
  </si>
  <si>
    <t>COI0320</t>
  </si>
  <si>
    <t>PL0000109120</t>
  </si>
  <si>
    <t>EDO0326</t>
  </si>
  <si>
    <t>PL0000109138</t>
  </si>
  <si>
    <t>DOS0418</t>
  </si>
  <si>
    <t>PL0000109161</t>
  </si>
  <si>
    <t>TOZ0419</t>
  </si>
  <si>
    <t>PL0000109195</t>
  </si>
  <si>
    <t>COI0420</t>
  </si>
  <si>
    <t>PL0000109179</t>
  </si>
  <si>
    <t>EDO0426</t>
  </si>
  <si>
    <t>PL0000109187</t>
  </si>
  <si>
    <t>DOS0518</t>
  </si>
  <si>
    <t>TOZ0519</t>
  </si>
  <si>
    <t>COI0520</t>
  </si>
  <si>
    <t>EDO0526</t>
  </si>
  <si>
    <t>PL0000109203</t>
  </si>
  <si>
    <t>PL0000109237</t>
  </si>
  <si>
    <t>PL0000109211</t>
  </si>
  <si>
    <t>PL0000109229</t>
  </si>
  <si>
    <t>DOS0618</t>
  </si>
  <si>
    <t>PL0000109245</t>
  </si>
  <si>
    <t>TOZ0619</t>
  </si>
  <si>
    <t>PL0000109278</t>
  </si>
  <si>
    <t>COI0620</t>
  </si>
  <si>
    <t>PL0000109252</t>
  </si>
  <si>
    <t>EDO0626</t>
  </si>
  <si>
    <t>PL0000109260</t>
  </si>
  <si>
    <t>DOS0718</t>
  </si>
  <si>
    <t>PL0000109286</t>
  </si>
  <si>
    <t>TOZ0719</t>
  </si>
  <si>
    <t>PL0000109310</t>
  </si>
  <si>
    <t>COI0720</t>
  </si>
  <si>
    <t>PL0000109294</t>
  </si>
  <si>
    <t>EDO0726</t>
  </si>
  <si>
    <t>PL0000109302</t>
  </si>
  <si>
    <t>DOS0818</t>
  </si>
  <si>
    <t>TOZ0819</t>
  </si>
  <si>
    <t>COI0820</t>
  </si>
  <si>
    <t>EDO0826</t>
  </si>
  <si>
    <t>PL0000109336</t>
  </si>
  <si>
    <t>PL0000109369</t>
  </si>
  <si>
    <t>PL0000109344</t>
  </si>
  <si>
    <t>PL0000109351</t>
  </si>
  <si>
    <t>DOS0918</t>
  </si>
  <si>
    <t>PL0000109385</t>
  </si>
  <si>
    <t>TOZ0919</t>
  </si>
  <si>
    <t>PL0000109419</t>
  </si>
  <si>
    <t>COI0920</t>
  </si>
  <si>
    <t>PL0000109393</t>
  </si>
  <si>
    <t>EDO0926</t>
  </si>
  <si>
    <t>PL0000109401</t>
  </si>
  <si>
    <t>EDO1026</t>
  </si>
  <si>
    <t>COI1020</t>
  </si>
  <si>
    <t>PL0000109443</t>
  </si>
  <si>
    <t>PL0000109435</t>
  </si>
  <si>
    <t>DOS1018</t>
  </si>
  <si>
    <t>TOZ1019</t>
  </si>
  <si>
    <t>PL0000109468</t>
  </si>
  <si>
    <t>PL0000109450</t>
  </si>
  <si>
    <t>ROS1022</t>
  </si>
  <si>
    <t>PL0000109476</t>
  </si>
  <si>
    <t>ROD1028</t>
  </si>
  <si>
    <t>PL0000109484</t>
  </si>
  <si>
    <t xml:space="preserve"> lat/a od dnia zakupu</t>
  </si>
  <si>
    <t>DOS1118</t>
  </si>
  <si>
    <t>PL0000109500</t>
  </si>
  <si>
    <t>TOZ1119</t>
  </si>
  <si>
    <t>PL0000109534</t>
  </si>
  <si>
    <t>COI1120</t>
  </si>
  <si>
    <t>PL0000109518</t>
  </si>
  <si>
    <t>EDO1126</t>
  </si>
  <si>
    <t>PL0000109526</t>
  </si>
  <si>
    <t>ROS1122</t>
  </si>
  <si>
    <t>PL0000109542</t>
  </si>
  <si>
    <t>ROD1128</t>
  </si>
  <si>
    <t>PL0000109559</t>
  </si>
  <si>
    <t>DOS1218</t>
  </si>
  <si>
    <t>PL0000109567</t>
  </si>
  <si>
    <t>TOZ1219</t>
  </si>
  <si>
    <t>PL0000109591</t>
  </si>
  <si>
    <t>COI1220</t>
  </si>
  <si>
    <t>PL0000109575</t>
  </si>
  <si>
    <t>EDO1226</t>
  </si>
  <si>
    <t>PL0000109583</t>
  </si>
  <si>
    <t>ROS1222</t>
  </si>
  <si>
    <t>ROD1228</t>
  </si>
  <si>
    <t>PL0000109609</t>
  </si>
  <si>
    <t>PL0000109617</t>
  </si>
  <si>
    <t>DOS0119</t>
  </si>
  <si>
    <t>PL0000109641</t>
  </si>
  <si>
    <t>TOZ0120</t>
  </si>
  <si>
    <t>PL0000109674</t>
  </si>
  <si>
    <t>COI0121</t>
  </si>
  <si>
    <t>PL0000109658</t>
  </si>
  <si>
    <t>EDO0127</t>
  </si>
  <si>
    <t>PL0000109666</t>
  </si>
  <si>
    <t>ROS0123</t>
  </si>
  <si>
    <t>PL0000109682</t>
  </si>
  <si>
    <t>PL0000109690</t>
  </si>
  <si>
    <t>DOS0219</t>
  </si>
  <si>
    <t>PL0000109708</t>
  </si>
  <si>
    <t>TOZ0220</t>
  </si>
  <si>
    <t>PL0000109732</t>
  </si>
  <si>
    <t>COI0221</t>
  </si>
  <si>
    <t>PL0000109716</t>
  </si>
  <si>
    <t>EDO0227</t>
  </si>
  <si>
    <t>PL0000109724</t>
  </si>
  <si>
    <t>ROS0223</t>
  </si>
  <si>
    <t>PL0000109740</t>
  </si>
  <si>
    <t>PL0000109757</t>
  </si>
  <si>
    <t>ROD0129</t>
  </si>
  <si>
    <t>ROD0229</t>
  </si>
  <si>
    <t>PL0000109781</t>
  </si>
  <si>
    <t>COI0321</t>
  </si>
  <si>
    <t>Subscription/rolling-over</t>
  </si>
  <si>
    <t>Margin</t>
  </si>
  <si>
    <t xml:space="preserve"> in following years</t>
  </si>
  <si>
    <t xml:space="preserve"> w kolejnych latach</t>
  </si>
  <si>
    <t xml:space="preserve"> miesięcy od dnia zakupu</t>
  </si>
  <si>
    <t xml:space="preserve"> months from day of purchase</t>
  </si>
  <si>
    <r>
      <t xml:space="preserve">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year</t>
    </r>
  </si>
  <si>
    <r>
      <t xml:space="preserve">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year</t>
    </r>
  </si>
  <si>
    <r>
      <t xml:space="preserve">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year</t>
    </r>
  </si>
  <si>
    <r>
      <t xml:space="preserve">  6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year</t>
    </r>
  </si>
  <si>
    <r>
      <t xml:space="preserve">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year</t>
    </r>
  </si>
  <si>
    <r>
      <t xml:space="preserve"> 11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year</t>
    </r>
  </si>
  <si>
    <r>
      <t xml:space="preserve"> 12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year</t>
    </r>
  </si>
  <si>
    <r>
      <t xml:space="preserve"> 10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year</t>
    </r>
  </si>
  <si>
    <r>
      <t xml:space="preserve"> 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year</t>
    </r>
  </si>
  <si>
    <r>
      <t xml:space="preserve">  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year</t>
    </r>
  </si>
  <si>
    <r>
      <t xml:space="preserve"> 7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year</t>
    </r>
  </si>
  <si>
    <t xml:space="preserve">Interest </t>
  </si>
  <si>
    <t>Odsetki do wypłaty</t>
  </si>
  <si>
    <t>DOS0319</t>
  </si>
  <si>
    <t>PL0000109773</t>
  </si>
  <si>
    <t>EDO0327</t>
  </si>
  <si>
    <t>PL0000109799</t>
  </si>
  <si>
    <t>EDO0427</t>
  </si>
  <si>
    <t>PL0000109856</t>
  </si>
  <si>
    <t>TOZ0320</t>
  </si>
  <si>
    <t>TOZ0420</t>
  </si>
  <si>
    <r>
      <t xml:space="preserve">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period</t>
    </r>
  </si>
  <si>
    <r>
      <t xml:space="preserve">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period</t>
    </r>
  </si>
  <si>
    <r>
      <t xml:space="preserve">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period</t>
    </r>
  </si>
  <si>
    <r>
      <t xml:space="preserve">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year</t>
    </r>
  </si>
  <si>
    <r>
      <t xml:space="preserve">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period</t>
    </r>
  </si>
  <si>
    <r>
      <t xml:space="preserve"> 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period</t>
    </r>
  </si>
  <si>
    <r>
      <t xml:space="preserve"> 6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period</t>
    </r>
  </si>
  <si>
    <t>PL0000109807</t>
  </si>
  <si>
    <t>PL0000109864</t>
  </si>
  <si>
    <t>PL0000109831</t>
  </si>
  <si>
    <t>COI0421</t>
  </si>
  <si>
    <t>PL0000109849</t>
  </si>
  <si>
    <t>DOS0419</t>
  </si>
  <si>
    <t>Mnożnik</t>
  </si>
  <si>
    <t>ROS0323</t>
  </si>
  <si>
    <t>PL0000109815</t>
  </si>
  <si>
    <t>ROS0423</t>
  </si>
  <si>
    <t>PL0000109872</t>
  </si>
  <si>
    <t>ROD0329</t>
  </si>
  <si>
    <t>ROD0429</t>
  </si>
  <si>
    <t>PL0000109823</t>
  </si>
  <si>
    <t>PL0000109880</t>
  </si>
  <si>
    <t>DOS</t>
  </si>
  <si>
    <t>TOZ</t>
  </si>
  <si>
    <t>COI</t>
  </si>
  <si>
    <t>EDO</t>
  </si>
  <si>
    <t>ROS</t>
  </si>
  <si>
    <t>ROD</t>
  </si>
  <si>
    <t>IR</t>
  </si>
  <si>
    <t>RS</t>
  </si>
  <si>
    <t>TZ</t>
  </si>
  <si>
    <t>SP</t>
  </si>
  <si>
    <t>KOS</t>
  </si>
  <si>
    <t>99,90/100,40</t>
  </si>
  <si>
    <t>99,90/99,50</t>
  </si>
  <si>
    <t>99,90/100,10</t>
  </si>
  <si>
    <r>
      <t xml:space="preserve">Rodzinne sześcioletnie oszczędnościowe obligacje skarbowe o oprocentowaniu indeksowanym inflacją, dedykowane beneficjentom Programu Rodzina 500+.
</t>
    </r>
    <r>
      <rPr>
        <i/>
        <sz val="10"/>
        <rFont val="Arial"/>
        <family val="2"/>
      </rPr>
      <t xml:space="preserve">6-year savings bonds, called „family bonds”, dedicated for beneficiaries of program „Family 500+”. </t>
    </r>
  </si>
  <si>
    <r>
      <t xml:space="preserve">Roczne obligacje indeksowane.
</t>
    </r>
    <r>
      <rPr>
        <i/>
        <sz val="10"/>
        <rFont val="Arial"/>
        <family val="2"/>
      </rPr>
      <t>One-year indexed linked bonds.</t>
    </r>
  </si>
  <si>
    <r>
      <t xml:space="preserve">Krótkoookresowe obligacje oszczędnościowe.
</t>
    </r>
    <r>
      <rPr>
        <i/>
        <sz val="10"/>
        <rFont val="Arial"/>
        <family val="2"/>
      </rPr>
      <t>Short term saving bond.</t>
    </r>
  </si>
  <si>
    <r>
      <t xml:space="preserve">Emerytalne dziesięcioletnie oszczędnościowe obligacje skarbowe o oprocentowaniu indeksowanym inflacją.
</t>
    </r>
    <r>
      <rPr>
        <i/>
        <sz val="10"/>
        <rFont val="Arial"/>
        <family val="2"/>
      </rPr>
      <t>10-year inflation rate indexed savings bonds.</t>
    </r>
  </si>
  <si>
    <r>
      <t xml:space="preserve">Trzyletnie oszczędnościowe obligacje skarbowe o zmiennej stopie procentowej.
</t>
    </r>
    <r>
      <rPr>
        <i/>
        <sz val="10"/>
        <rFont val="Arial"/>
        <family val="2"/>
      </rPr>
      <t>3-year floating rate savings bonds.</t>
    </r>
  </si>
  <si>
    <r>
      <t xml:space="preserve">Czteroletnie indeksowane oszczędnościowe obligacje skarbowe o oprocentowaniu indeksowanym inflacją.
</t>
    </r>
    <r>
      <rPr>
        <i/>
        <sz val="10"/>
        <rFont val="Arial"/>
        <family val="2"/>
      </rPr>
      <t>4-year inflation rate indexed savings bonds.</t>
    </r>
  </si>
  <si>
    <r>
      <t xml:space="preserve">Roczne obligacje stałoprocentowe.
</t>
    </r>
    <r>
      <rPr>
        <i/>
        <sz val="10"/>
        <rFont val="Arial"/>
        <family val="2"/>
      </rPr>
      <t>One-year fixed-income bonds.</t>
    </r>
  </si>
  <si>
    <r>
      <t xml:space="preserve">Pięcioletnie obligacje skarbowe o stałej stopie procentowej.
</t>
    </r>
    <r>
      <rPr>
        <i/>
        <sz val="10"/>
        <rFont val="Arial"/>
        <family val="2"/>
      </rPr>
      <t>5-year fixed rate bonds.</t>
    </r>
  </si>
  <si>
    <r>
      <t xml:space="preserve">Trzyletnie obligacje skarbowe o zmiennej stopie procentowej.
</t>
    </r>
    <r>
      <rPr>
        <i/>
        <sz val="10"/>
        <rFont val="Arial"/>
        <family val="2"/>
      </rPr>
      <t>3-year floating rate savings bonds.</t>
    </r>
  </si>
  <si>
    <t>Marża</t>
  </si>
  <si>
    <t>subskrypcji</t>
  </si>
  <si>
    <t>DOS0519</t>
  </si>
  <si>
    <t>PL0000109898</t>
  </si>
  <si>
    <t>TOZ0520</t>
  </si>
  <si>
    <t>PL0000109922</t>
  </si>
  <si>
    <t>COI0521</t>
  </si>
  <si>
    <t>PL0000109906</t>
  </si>
  <si>
    <t>EDO0527</t>
  </si>
  <si>
    <t>PL0000109914</t>
  </si>
  <si>
    <t>ROS0523</t>
  </si>
  <si>
    <t>PL0000109930</t>
  </si>
  <si>
    <t>ROD0529</t>
  </si>
  <si>
    <t>PL0000109948</t>
  </si>
  <si>
    <t>DOS0619</t>
  </si>
  <si>
    <t>PL0000109955</t>
  </si>
  <si>
    <t>TOZ0620</t>
  </si>
  <si>
    <t>PL0000109989</t>
  </si>
  <si>
    <t>COI0621</t>
  </si>
  <si>
    <t>PL0000109963</t>
  </si>
  <si>
    <t>EDO0627</t>
  </si>
  <si>
    <t>PL0000109971</t>
  </si>
  <si>
    <t>ROS0623</t>
  </si>
  <si>
    <t>PL0000109997</t>
  </si>
  <si>
    <t>ROD0629</t>
  </si>
  <si>
    <t>PL0000110011</t>
  </si>
  <si>
    <t>DOS0719</t>
  </si>
  <si>
    <t>TOZ0720</t>
  </si>
  <si>
    <t>COI0721</t>
  </si>
  <si>
    <t>EDO0727</t>
  </si>
  <si>
    <t>ROS0723</t>
  </si>
  <si>
    <t>ROD0729</t>
  </si>
  <si>
    <t>PL0000110029</t>
  </si>
  <si>
    <t>PL0000110052</t>
  </si>
  <si>
    <t>PL0000110037</t>
  </si>
  <si>
    <t>PL0000110045</t>
  </si>
  <si>
    <t>PL0000110060</t>
  </si>
  <si>
    <t>PL0000110078</t>
  </si>
  <si>
    <t>DOS0819</t>
  </si>
  <si>
    <t>PL0000110094</t>
  </si>
  <si>
    <t>TOZ0820</t>
  </si>
  <si>
    <t>PL0000110128</t>
  </si>
  <si>
    <t>COI0821</t>
  </si>
  <si>
    <t>PL0000110102</t>
  </si>
  <si>
    <t>EDO0827</t>
  </si>
  <si>
    <t>PL0000110110</t>
  </si>
  <si>
    <t>ROS0823</t>
  </si>
  <si>
    <t>PL0000110136</t>
  </si>
  <si>
    <t>ROD0829</t>
  </si>
  <si>
    <t>PL0000110144</t>
  </si>
  <si>
    <t>DOS0919</t>
  </si>
  <si>
    <t>PL0000110177</t>
  </si>
  <si>
    <t>TOZ0920</t>
  </si>
  <si>
    <t>PL0000110201</t>
  </si>
  <si>
    <t>COI0921</t>
  </si>
  <si>
    <t>PL0000110185</t>
  </si>
  <si>
    <t>EDO0927</t>
  </si>
  <si>
    <t>PL0000110193</t>
  </si>
  <si>
    <t>ROS0923</t>
  </si>
  <si>
    <t>PL0000110219</t>
  </si>
  <si>
    <t>ROD0929</t>
  </si>
  <si>
    <t>PL0000110227</t>
  </si>
  <si>
    <t>OTS0118</t>
  </si>
  <si>
    <t>OTS</t>
  </si>
  <si>
    <t xml:space="preserve"> miesiące od dnia zakupu</t>
  </si>
  <si>
    <t>PL0000110292</t>
  </si>
  <si>
    <t>DOS1019</t>
  </si>
  <si>
    <t>PL0000110235</t>
  </si>
  <si>
    <t>TOZ1020</t>
  </si>
  <si>
    <t>PL0000110268</t>
  </si>
  <si>
    <t>COI1021</t>
  </si>
  <si>
    <t>PL0000110243</t>
  </si>
  <si>
    <t>EDO1027</t>
  </si>
  <si>
    <t>PL0000110250</t>
  </si>
  <si>
    <t>ROS1023</t>
  </si>
  <si>
    <t>PL0000110276</t>
  </si>
  <si>
    <t>ROD1029</t>
  </si>
  <si>
    <t>PL0000110284</t>
  </si>
  <si>
    <t>DOS1119</t>
  </si>
  <si>
    <t>PL0000110318</t>
  </si>
  <si>
    <t>OTS0218</t>
  </si>
  <si>
    <t>PL0000110300</t>
  </si>
  <si>
    <t>TOZ1120</t>
  </si>
  <si>
    <t>PL0000110326</t>
  </si>
  <si>
    <t>COI1121</t>
  </si>
  <si>
    <t>PL0000110334</t>
  </si>
  <si>
    <t>EDO1127</t>
  </si>
  <si>
    <t>PL0000110342</t>
  </si>
  <si>
    <t>ROS1123</t>
  </si>
  <si>
    <t>PL0000110359</t>
  </si>
  <si>
    <t>ROD1129</t>
  </si>
  <si>
    <t>PL0000110367</t>
  </si>
  <si>
    <t>OTS0318</t>
  </si>
  <si>
    <t>PL0000110409</t>
  </si>
  <si>
    <t>DOS1219</t>
  </si>
  <si>
    <t>PL0000110417</t>
  </si>
  <si>
    <t>TOZ1220</t>
  </si>
  <si>
    <t>PL0000110425</t>
  </si>
  <si>
    <t>COI1221</t>
  </si>
  <si>
    <t>PL0000110433</t>
  </si>
  <si>
    <t>PL0000110441</t>
  </si>
  <si>
    <t>EDO1227</t>
  </si>
  <si>
    <t>ROS1223</t>
  </si>
  <si>
    <t>PL0000110458</t>
  </si>
  <si>
    <t>ROD1229</t>
  </si>
  <si>
    <t>PL0000110466</t>
  </si>
  <si>
    <t>OTS0418</t>
  </si>
  <si>
    <t>DOS0120</t>
  </si>
  <si>
    <t>TOZ0121</t>
  </si>
  <si>
    <t>COI0122</t>
  </si>
  <si>
    <t>EDO0128</t>
  </si>
  <si>
    <t>ROS0124</t>
  </si>
  <si>
    <t>ROD0130</t>
  </si>
  <si>
    <t>PL0000110474</t>
  </si>
  <si>
    <t>PL0000110482</t>
  </si>
  <si>
    <t>PL0000110490</t>
  </si>
  <si>
    <t>PL0000110508</t>
  </si>
  <si>
    <t>PL0000110516</t>
  </si>
  <si>
    <t>PL0000110524</t>
  </si>
  <si>
    <t>PL0000110532</t>
  </si>
  <si>
    <t>OTS0518</t>
  </si>
  <si>
    <t>DOS0220</t>
  </si>
  <si>
    <t>TOZ0221</t>
  </si>
  <si>
    <t>COI0222</t>
  </si>
  <si>
    <t>EDO0228</t>
  </si>
  <si>
    <t>ROS0224</t>
  </si>
  <si>
    <t>ROD0230</t>
  </si>
  <si>
    <t>PL0000110540</t>
  </si>
  <si>
    <t>PL0000110557</t>
  </si>
  <si>
    <t>PL0000110565</t>
  </si>
  <si>
    <t>PL0000110573</t>
  </si>
  <si>
    <t>PL0000110581</t>
  </si>
  <si>
    <t>PL0000110599</t>
  </si>
  <si>
    <t>PL0000110607</t>
  </si>
  <si>
    <t>PL0000110623</t>
  </si>
  <si>
    <t>OTS0618</t>
  </si>
  <si>
    <t>DOS0320</t>
  </si>
  <si>
    <t>PL0000110631</t>
  </si>
  <si>
    <t>TOZ0321</t>
  </si>
  <si>
    <t>PL0000110649</t>
  </si>
  <si>
    <t>COI0322</t>
  </si>
  <si>
    <t>PL0000110656</t>
  </si>
  <si>
    <t>EDO0328</t>
  </si>
  <si>
    <t>PL0000110664</t>
  </si>
  <si>
    <t>ROS0324</t>
  </si>
  <si>
    <t>PL0000110672</t>
  </si>
  <si>
    <t>ROD0330</t>
  </si>
  <si>
    <t>PL0000110680</t>
  </si>
  <si>
    <t>OTS0718</t>
  </si>
  <si>
    <t>PL0000110698</t>
  </si>
  <si>
    <t>DOS0420</t>
  </si>
  <si>
    <t>PL0000110706</t>
  </si>
  <si>
    <t>TOZ0421</t>
  </si>
  <si>
    <t>PL0000110714</t>
  </si>
  <si>
    <t>COI0422</t>
  </si>
  <si>
    <t>PL0000110722</t>
  </si>
  <si>
    <t>EDO0428</t>
  </si>
  <si>
    <t>PL0000110730</t>
  </si>
  <si>
    <t>ROS0424</t>
  </si>
  <si>
    <t>PL0000110748</t>
  </si>
  <si>
    <t>ROD0430</t>
  </si>
  <si>
    <t>PL0000110755</t>
  </si>
  <si>
    <t>OTS0818</t>
  </si>
  <si>
    <t>PL0000110763</t>
  </si>
  <si>
    <t>DOS0520</t>
  </si>
  <si>
    <t>PL0000110771</t>
  </si>
  <si>
    <t>TOZ0521</t>
  </si>
  <si>
    <t>COI0522</t>
  </si>
  <si>
    <t>PL0000110797</t>
  </si>
  <si>
    <t>EDO0528</t>
  </si>
  <si>
    <t>PL0000110805</t>
  </si>
  <si>
    <t>ROS0524</t>
  </si>
  <si>
    <t>PL0000110813</t>
  </si>
  <si>
    <t>ROD0530</t>
  </si>
  <si>
    <t>PL0000110821</t>
  </si>
  <si>
    <t>PL0000110789</t>
  </si>
  <si>
    <t>POS0419</t>
  </si>
  <si>
    <t>POS</t>
  </si>
  <si>
    <r>
      <t xml:space="preserve">Dwuletnie oszczędnościowe obligacje skarbowe o oprocentowaniu stałym.
</t>
    </r>
    <r>
      <rPr>
        <i/>
        <sz val="10"/>
        <rFont val="Arial"/>
        <family val="2"/>
      </rPr>
      <t>2-year fixed rate savings bonds.</t>
    </r>
  </si>
  <si>
    <r>
      <t>Trzymiesięczne oszczędnościowe obligacje skarbowe o oprocentowaniu stałym.
3</t>
    </r>
    <r>
      <rPr>
        <i/>
        <sz val="10"/>
        <rFont val="Arial"/>
        <family val="2"/>
      </rPr>
      <t>-month fixed rate savings bonds.</t>
    </r>
  </si>
  <si>
    <t>OTS0918</t>
  </si>
  <si>
    <t>PL0000110839</t>
  </si>
  <si>
    <t>PL0000110847</t>
  </si>
  <si>
    <t>DOS0620</t>
  </si>
  <si>
    <t>TOZ0621</t>
  </si>
  <si>
    <t>PL0000110854</t>
  </si>
  <si>
    <t>PL0000110862</t>
  </si>
  <si>
    <t>COI0622</t>
  </si>
  <si>
    <t>PL0000110870</t>
  </si>
  <si>
    <t>EDO0628</t>
  </si>
  <si>
    <t>PL0000110888</t>
  </si>
  <si>
    <t>ROS0624</t>
  </si>
  <si>
    <t>PL0000110896</t>
  </si>
  <si>
    <t>ROD0630</t>
  </si>
  <si>
    <t>PL0000110904</t>
  </si>
  <si>
    <t>PL0000108544</t>
  </si>
  <si>
    <t>PL0000106704</t>
  </si>
  <si>
    <t>OTS1018</t>
  </si>
  <si>
    <t>PL0000110912</t>
  </si>
  <si>
    <t>DOS0720</t>
  </si>
  <si>
    <t>PL0000110920</t>
  </si>
  <si>
    <t>TOZ0721</t>
  </si>
  <si>
    <t>PL0000110938</t>
  </si>
  <si>
    <t>COI0722</t>
  </si>
  <si>
    <t>PL0000110946</t>
  </si>
  <si>
    <t>EDO0728</t>
  </si>
  <si>
    <t>PL0000110953</t>
  </si>
  <si>
    <t>ROS0724</t>
  </si>
  <si>
    <t>PL0000110961</t>
  </si>
  <si>
    <t>ROD0730</t>
  </si>
  <si>
    <t>PL0000110979</t>
  </si>
  <si>
    <t>OTS1118</t>
  </si>
  <si>
    <t>PL0000110987</t>
  </si>
  <si>
    <t>DOS0820</t>
  </si>
  <si>
    <t>PL0000110995</t>
  </si>
  <si>
    <t>TOZ0821</t>
  </si>
  <si>
    <t>PL0000111001</t>
  </si>
  <si>
    <t>COI0822</t>
  </si>
  <si>
    <t>PL0000111019</t>
  </si>
  <si>
    <t>EDO0828</t>
  </si>
  <si>
    <t>PL0000111027</t>
  </si>
  <si>
    <t>ROS0824</t>
  </si>
  <si>
    <t>PL0000111035</t>
  </si>
  <si>
    <t>ROD0830</t>
  </si>
  <si>
    <t>PL0000111043</t>
  </si>
  <si>
    <t>OTS1218</t>
  </si>
  <si>
    <t>PL0000111050</t>
  </si>
  <si>
    <t>DOS0920</t>
  </si>
  <si>
    <t>PL0000111068</t>
  </si>
  <si>
    <t>TOZ0921</t>
  </si>
  <si>
    <t>PL0000111076</t>
  </si>
  <si>
    <t>COI0922</t>
  </si>
  <si>
    <t>PL0000111084</t>
  </si>
  <si>
    <t>EDO0928</t>
  </si>
  <si>
    <t>PL0000111092</t>
  </si>
  <si>
    <t>ROS0924</t>
  </si>
  <si>
    <t>PL0000111100</t>
  </si>
  <si>
    <t>ROD0930</t>
  </si>
  <si>
    <t>PL0000111118</t>
  </si>
  <si>
    <t>OTS0119</t>
  </si>
  <si>
    <t>PL0000111126</t>
  </si>
  <si>
    <t>DOS1020</t>
  </si>
  <si>
    <t>PL0000111134</t>
  </si>
  <si>
    <t>TOZ1021</t>
  </si>
  <si>
    <t>PL0000111142</t>
  </si>
  <si>
    <t>COI1022</t>
  </si>
  <si>
    <t>PL0000111159</t>
  </si>
  <si>
    <t>EDO1028</t>
  </si>
  <si>
    <t>PL0000111167</t>
  </si>
  <si>
    <t>ROS1024</t>
  </si>
  <si>
    <t>PL0000111175</t>
  </si>
  <si>
    <t>ROD1030</t>
  </si>
  <si>
    <t>PL0000111183</t>
  </si>
  <si>
    <t>OTS0219</t>
  </si>
  <si>
    <t>PL0000111209</t>
  </si>
  <si>
    <t>DOS1120</t>
  </si>
  <si>
    <t>PL0000111217</t>
  </si>
  <si>
    <t>TOZ1121</t>
  </si>
  <si>
    <t>PL0000111225</t>
  </si>
  <si>
    <t>COI1122</t>
  </si>
  <si>
    <t>PL0000111233</t>
  </si>
  <si>
    <t>EDO1128</t>
  </si>
  <si>
    <t>PL0000111241</t>
  </si>
  <si>
    <t>ROS1124</t>
  </si>
  <si>
    <t>PL0000111258</t>
  </si>
  <si>
    <t>ROD1130</t>
  </si>
  <si>
    <t>PL0000111266</t>
  </si>
  <si>
    <t>OTS0319</t>
  </si>
  <si>
    <t>PL0000111282</t>
  </si>
  <si>
    <t>DOS1220</t>
  </si>
  <si>
    <t>PL0000111290</t>
  </si>
  <si>
    <t>TOZ1221</t>
  </si>
  <si>
    <t>PL0000111308</t>
  </si>
  <si>
    <t>COI1222</t>
  </si>
  <si>
    <t>PL0000111316</t>
  </si>
  <si>
    <t>EDO1228</t>
  </si>
  <si>
    <t>PL0000111324</t>
  </si>
  <si>
    <t>ROS1224</t>
  </si>
  <si>
    <t>PL0000111332</t>
  </si>
  <si>
    <t>ROD1230</t>
  </si>
  <si>
    <t>PL0000111340</t>
  </si>
  <si>
    <t>PL0000111357</t>
  </si>
  <si>
    <t>OTS0419</t>
  </si>
  <si>
    <t>DOS0121</t>
  </si>
  <si>
    <t>PL0000111365</t>
  </si>
  <si>
    <t>TOZ0122</t>
  </si>
  <si>
    <t>PL0000111373</t>
  </si>
  <si>
    <t>COI0123</t>
  </si>
  <si>
    <t>PL0000111381</t>
  </si>
  <si>
    <t>EDO0129</t>
  </si>
  <si>
    <t>PL0000111399</t>
  </si>
  <si>
    <t>ROS0125</t>
  </si>
  <si>
    <t>PL0000111407</t>
  </si>
  <si>
    <t>ROD0131</t>
  </si>
  <si>
    <t>PL0000111415</t>
  </si>
  <si>
    <t>OTS0519</t>
  </si>
  <si>
    <t>PL0000111423</t>
  </si>
  <si>
    <t>DOS0221</t>
  </si>
  <si>
    <t>PL0000111431</t>
  </si>
  <si>
    <t>TOZ0222</t>
  </si>
  <si>
    <t>PL0000111449</t>
  </si>
  <si>
    <t>COI0223</t>
  </si>
  <si>
    <t>PL0000111456</t>
  </si>
  <si>
    <t>EDO0229</t>
  </si>
  <si>
    <t>PL0000111464</t>
  </si>
  <si>
    <t>ROS0225</t>
  </si>
  <si>
    <t>ROD0231</t>
  </si>
  <si>
    <t>PL0000111480</t>
  </si>
  <si>
    <t>PL0000111472</t>
  </si>
  <si>
    <t>OTS0619</t>
  </si>
  <si>
    <t>PL0000111506</t>
  </si>
  <si>
    <t>DOS0321</t>
  </si>
  <si>
    <t>PL0000111514</t>
  </si>
  <si>
    <t>TOZ0322</t>
  </si>
  <si>
    <t>PL0000111522</t>
  </si>
  <si>
    <t>COI0323</t>
  </si>
  <si>
    <t>PL0000111530</t>
  </si>
  <si>
    <t>EDO0329</t>
  </si>
  <si>
    <t>PL0000111548</t>
  </si>
  <si>
    <t>ROS0325</t>
  </si>
  <si>
    <t>PL0000111555</t>
  </si>
  <si>
    <t>ROD0331</t>
  </si>
  <si>
    <t>PL0000111563</t>
  </si>
  <si>
    <t>10 lat/a od dnia zakupu</t>
  </si>
  <si>
    <t>EDO0429</t>
  </si>
  <si>
    <t>PL0000111613</t>
  </si>
  <si>
    <t>3 miesiące od dnia zakupu</t>
  </si>
  <si>
    <t>OTS0719</t>
  </si>
  <si>
    <t>PL0000111571</t>
  </si>
  <si>
    <t>2 lat/a od dnia zakupu</t>
  </si>
  <si>
    <t>DOS0421</t>
  </si>
  <si>
    <t>PL0000111589</t>
  </si>
  <si>
    <t>3 lat/a od dnia zakupu</t>
  </si>
  <si>
    <t>TOZ0422</t>
  </si>
  <si>
    <t>PL0000111597</t>
  </si>
  <si>
    <t>4 lat/a od dnia zakupu</t>
  </si>
  <si>
    <t>COI0423</t>
  </si>
  <si>
    <t>PL0000111605</t>
  </si>
  <si>
    <t>6 lat/a od dnia zakupu</t>
  </si>
  <si>
    <t>ROS0425</t>
  </si>
  <si>
    <t>PL0000111621</t>
  </si>
  <si>
    <t>12 lat/a od dnia zakupu</t>
  </si>
  <si>
    <t>ROD0431</t>
  </si>
  <si>
    <t>PL0000111639</t>
  </si>
  <si>
    <t>OTS0819</t>
  </si>
  <si>
    <t>PL0000111654</t>
  </si>
  <si>
    <t>DOS0521</t>
  </si>
  <si>
    <t>PL0000111662</t>
  </si>
  <si>
    <t>TOZ0522</t>
  </si>
  <si>
    <t>PL0000111670</t>
  </si>
  <si>
    <t>COI0523</t>
  </si>
  <si>
    <t>PL0000111688</t>
  </si>
  <si>
    <t>EDO0529</t>
  </si>
  <si>
    <t>PL0000111696</t>
  </si>
  <si>
    <t>ROS0525</t>
  </si>
  <si>
    <t>PL0000111704</t>
  </si>
  <si>
    <t>ROD0531</t>
  </si>
  <si>
    <t>PL0000111712</t>
  </si>
  <si>
    <t>OTS0919</t>
  </si>
  <si>
    <t>PL0000111746</t>
  </si>
  <si>
    <t>POS0420</t>
  </si>
  <si>
    <t>DOS0621</t>
  </si>
  <si>
    <t>PL0000111761</t>
  </si>
  <si>
    <t>TOZ0622</t>
  </si>
  <si>
    <t>PL0000111779</t>
  </si>
  <si>
    <t>COI0623</t>
  </si>
  <si>
    <t>PL0000111787</t>
  </si>
  <si>
    <t>EDO0629</t>
  </si>
  <si>
    <t>PL0000111795</t>
  </si>
  <si>
    <t>ROS0625</t>
  </si>
  <si>
    <t>PL0000111803</t>
  </si>
  <si>
    <t>ROD0631</t>
  </si>
  <si>
    <t>PL0000111811</t>
  </si>
  <si>
    <t>PL0000111753</t>
  </si>
  <si>
    <t>OTS1019</t>
  </si>
  <si>
    <t>PL0000111837</t>
  </si>
  <si>
    <t>DOS0721</t>
  </si>
  <si>
    <t>PL0000111845</t>
  </si>
  <si>
    <t>TOZ0722</t>
  </si>
  <si>
    <t>PL0000111852</t>
  </si>
  <si>
    <t>COI0723</t>
  </si>
  <si>
    <t>PL0000111860</t>
  </si>
  <si>
    <t>EDO0729</t>
  </si>
  <si>
    <t>PL0000111878</t>
  </si>
  <si>
    <t>ROS0725</t>
  </si>
  <si>
    <t>PL0000111886</t>
  </si>
  <si>
    <t>ROD0731</t>
  </si>
  <si>
    <t>PL0000111894</t>
  </si>
  <si>
    <t>OTS1119</t>
  </si>
  <si>
    <t>PL0000111936</t>
  </si>
  <si>
    <t>DOS0821</t>
  </si>
  <si>
    <t>PL0000111944</t>
  </si>
  <si>
    <t>TOZ0822</t>
  </si>
  <si>
    <t>PL0000111951</t>
  </si>
  <si>
    <t>COI0823</t>
  </si>
  <si>
    <t>PL0000111977</t>
  </si>
  <si>
    <t>PL0000111969</t>
  </si>
  <si>
    <t>EDO0829</t>
  </si>
  <si>
    <t>ROS0825</t>
  </si>
  <si>
    <t>PL0000111985</t>
  </si>
  <si>
    <t>ROD0831</t>
  </si>
  <si>
    <t>PL0000111993</t>
  </si>
  <si>
    <t>OTS1219</t>
  </si>
  <si>
    <t>PL0000112017</t>
  </si>
  <si>
    <t>PL0000112025</t>
  </si>
  <si>
    <t>DOS0921</t>
  </si>
  <si>
    <t>TOZ0922</t>
  </si>
  <si>
    <t>PL0000112033</t>
  </si>
  <si>
    <t>COI0923</t>
  </si>
  <si>
    <t>PL0000112041</t>
  </si>
  <si>
    <t>EDO0929</t>
  </si>
  <si>
    <t>PL0000112058</t>
  </si>
  <si>
    <t>ROS0925</t>
  </si>
  <si>
    <t>PL0000112066</t>
  </si>
  <si>
    <t>ROD0931</t>
  </si>
  <si>
    <t>PL0000112074</t>
  </si>
  <si>
    <t>OTS0120</t>
  </si>
  <si>
    <t>PL0000112090</t>
  </si>
  <si>
    <t>PL0000112108</t>
  </si>
  <si>
    <t>DOS1021</t>
  </si>
  <si>
    <t>TOZ1022</t>
  </si>
  <si>
    <t>PL0000112116</t>
  </si>
  <si>
    <t>COI1023</t>
  </si>
  <si>
    <t>PL0000112124</t>
  </si>
  <si>
    <t>EDO1029</t>
  </si>
  <si>
    <t>PL0000112132</t>
  </si>
  <si>
    <t>ROS1025</t>
  </si>
  <si>
    <t>PL0000112140</t>
  </si>
  <si>
    <t>ROD1031</t>
  </si>
  <si>
    <t>PL0000112157</t>
  </si>
  <si>
    <t>OTS0220</t>
  </si>
  <si>
    <t>PL0000112173</t>
  </si>
  <si>
    <t>DOS1121</t>
  </si>
  <si>
    <t>PL0000112181</t>
  </si>
  <si>
    <t>TOZ1122</t>
  </si>
  <si>
    <t>PL0000112199</t>
  </si>
  <si>
    <t>COI1123</t>
  </si>
  <si>
    <t>PL0000112207</t>
  </si>
  <si>
    <t>EDO1129</t>
  </si>
  <si>
    <t>PL0000112215</t>
  </si>
  <si>
    <t>ROS1125</t>
  </si>
  <si>
    <t>PL0000112223</t>
  </si>
  <si>
    <t>ROD1131</t>
  </si>
  <si>
    <t>PL0000112231</t>
  </si>
  <si>
    <t>OTS0320</t>
  </si>
  <si>
    <t>PL0000112249</t>
  </si>
  <si>
    <t>DOS1221</t>
  </si>
  <si>
    <t>PL0000112256</t>
  </si>
  <si>
    <t>TOZ1222</t>
  </si>
  <si>
    <t>PL0000112264</t>
  </si>
  <si>
    <t>COI1223</t>
  </si>
  <si>
    <t>PL0000112272</t>
  </si>
  <si>
    <t>EDO1229</t>
  </si>
  <si>
    <t>PL0000112280</t>
  </si>
  <si>
    <t>ROS1225</t>
  </si>
  <si>
    <t>PL0000112298</t>
  </si>
  <si>
    <t>ROD1231</t>
  </si>
  <si>
    <t>PL0000112306</t>
  </si>
  <si>
    <t>OTS0420</t>
  </si>
  <si>
    <t>PL0000112322</t>
  </si>
  <si>
    <t>DOS0122</t>
  </si>
  <si>
    <t>PL0000112330</t>
  </si>
  <si>
    <t>TOZ0123</t>
  </si>
  <si>
    <t>PL0000112348</t>
  </si>
  <si>
    <t>PL0000112355</t>
  </si>
  <si>
    <t>COI0124</t>
  </si>
  <si>
    <t>EDO0130</t>
  </si>
  <si>
    <t>PL0000112363</t>
  </si>
  <si>
    <t>ROS0126</t>
  </si>
  <si>
    <t>PL0000112371</t>
  </si>
  <si>
    <t>ROD0132</t>
  </si>
  <si>
    <t>PL0000112389</t>
  </si>
  <si>
    <t>OTS0520</t>
  </si>
  <si>
    <t>PL0000112405</t>
  </si>
  <si>
    <t>DOS0222</t>
  </si>
  <si>
    <t>PL0000112413</t>
  </si>
  <si>
    <t>TOZ0223</t>
  </si>
  <si>
    <t>PL0000112421</t>
  </si>
  <si>
    <t>COI0224</t>
  </si>
  <si>
    <t>PL0000112439</t>
  </si>
  <si>
    <t>EDO0230</t>
  </si>
  <si>
    <t>PL0000112447</t>
  </si>
  <si>
    <t>ROS0226</t>
  </si>
  <si>
    <t>PL0000112454</t>
  </si>
  <si>
    <t>ROD0232</t>
  </si>
  <si>
    <t>PL0000112462</t>
  </si>
  <si>
    <t>TOZ0323</t>
  </si>
  <si>
    <t>OTS0620</t>
  </si>
  <si>
    <t>DOS0322</t>
  </si>
  <si>
    <t>COI0324</t>
  </si>
  <si>
    <t>EDO0330</t>
  </si>
  <si>
    <t>ROS0326</t>
  </si>
  <si>
    <t>ROD0332</t>
  </si>
  <si>
    <t>PL0000112470</t>
  </si>
  <si>
    <t>PL0000112488</t>
  </si>
  <si>
    <t>PL0000112496</t>
  </si>
  <si>
    <t>PL0000112504</t>
  </si>
  <si>
    <t>PL0000112512</t>
  </si>
  <si>
    <t>PL0000112520</t>
  </si>
  <si>
    <t>PL0000112538</t>
  </si>
  <si>
    <t>OTS0720</t>
  </si>
  <si>
    <t>PL0000112553</t>
  </si>
  <si>
    <t>DOS0422</t>
  </si>
  <si>
    <t>PL0000112561</t>
  </si>
  <si>
    <t>TOZ0423</t>
  </si>
  <si>
    <t>PL0000112579</t>
  </si>
  <si>
    <t>COI0424</t>
  </si>
  <si>
    <t>PL0000112587</t>
  </si>
  <si>
    <t>EDO0430</t>
  </si>
  <si>
    <t>PL0000112595</t>
  </si>
  <si>
    <t>ROS0426</t>
  </si>
  <si>
    <t>PL0000112603</t>
  </si>
  <si>
    <t>ROD0432</t>
  </si>
  <si>
    <t>PL0000112611</t>
  </si>
  <si>
    <t>DOS0522</t>
  </si>
  <si>
    <t>PL0000112645</t>
  </si>
  <si>
    <t>OTS0820</t>
  </si>
  <si>
    <t>PL0000112637</t>
  </si>
  <si>
    <t>TOZ0523</t>
  </si>
  <si>
    <t>PL0000112652</t>
  </si>
  <si>
    <t>COI0524</t>
  </si>
  <si>
    <t>PL0000112678</t>
  </si>
  <si>
    <t>PL0000112660</t>
  </si>
  <si>
    <t>EDO0530</t>
  </si>
  <si>
    <t>ROS0526</t>
  </si>
  <si>
    <t>PL0000112686</t>
  </si>
  <si>
    <t>ROD0532</t>
  </si>
  <si>
    <t>PL0000112694</t>
  </si>
  <si>
    <t>OTS0920</t>
  </si>
  <si>
    <t>PL0000112769</t>
  </si>
  <si>
    <t>DOS0622</t>
  </si>
  <si>
    <t>PL0000112777</t>
  </si>
  <si>
    <t>TOZ0623</t>
  </si>
  <si>
    <t>PL0000112785</t>
  </si>
  <si>
    <t>COI0624</t>
  </si>
  <si>
    <t>PL0000112793</t>
  </si>
  <si>
    <t>EDO0630</t>
  </si>
  <si>
    <t>PL0000112801</t>
  </si>
  <si>
    <t>ROS0626</t>
  </si>
  <si>
    <t>PL0000112819</t>
  </si>
  <si>
    <t>ROD0632</t>
  </si>
  <si>
    <t>PL0000112827</t>
  </si>
  <si>
    <t>OTS1020</t>
  </si>
  <si>
    <t>PL0000112835</t>
  </si>
  <si>
    <t>DOS0722</t>
  </si>
  <si>
    <t>PL0000112843</t>
  </si>
  <si>
    <t>TOZ0723</t>
  </si>
  <si>
    <t>PL0000112850</t>
  </si>
  <si>
    <t>COI0724</t>
  </si>
  <si>
    <t>PL0000112868</t>
  </si>
  <si>
    <t>EDO0730</t>
  </si>
  <si>
    <t>PL0000112876</t>
  </si>
  <si>
    <t>ROS0726</t>
  </si>
  <si>
    <t>PL0000112884</t>
  </si>
  <si>
    <t>ROD0732</t>
  </si>
  <si>
    <t>PL0000112892</t>
  </si>
  <si>
    <t>OTS1120</t>
  </si>
  <si>
    <t>PL0000112926</t>
  </si>
  <si>
    <t>PL0000112934</t>
  </si>
  <si>
    <t>DOS0822</t>
  </si>
  <si>
    <t>TOZ0823</t>
  </si>
  <si>
    <t>PL0000112942</t>
  </si>
  <si>
    <t>COI0824</t>
  </si>
  <si>
    <t>PL0000112959</t>
  </si>
  <si>
    <t>EDO0830</t>
  </si>
  <si>
    <t>PL0000112967</t>
  </si>
  <si>
    <t>ROS0826</t>
  </si>
  <si>
    <t>PL0000112975</t>
  </si>
  <si>
    <t>ROD0832</t>
  </si>
  <si>
    <t>PL0000112983</t>
  </si>
  <si>
    <t>PL0000112991</t>
  </si>
  <si>
    <t>PL0000113007</t>
  </si>
  <si>
    <t>DOS0922</t>
  </si>
  <si>
    <t>OTS1220</t>
  </si>
  <si>
    <t>PL0000113015</t>
  </si>
  <si>
    <t>TOZ0923</t>
  </si>
  <si>
    <t>COI0924</t>
  </si>
  <si>
    <t>PL0000113023</t>
  </si>
  <si>
    <t>EDO0930</t>
  </si>
  <si>
    <t>PL0000113031</t>
  </si>
  <si>
    <t>ROS0926</t>
  </si>
  <si>
    <t>PL0000113049</t>
  </si>
  <si>
    <t>ROD0932</t>
  </si>
  <si>
    <t>PL0000113056</t>
  </si>
  <si>
    <t>OTS0121</t>
  </si>
  <si>
    <t>PL0000113064</t>
  </si>
  <si>
    <t>DOS1022</t>
  </si>
  <si>
    <t>PL0000113072</t>
  </si>
  <si>
    <t>TOZ1023</t>
  </si>
  <si>
    <t>PL0000113080</t>
  </si>
  <si>
    <t>COI1024</t>
  </si>
  <si>
    <t>PL0000113098</t>
  </si>
  <si>
    <t>EDO1030</t>
  </si>
  <si>
    <t>PL0000113106</t>
  </si>
  <si>
    <t>ROS1026</t>
  </si>
  <si>
    <t>PL0000113114</t>
  </si>
  <si>
    <t>ROD1032</t>
  </si>
  <si>
    <t>PL0000113122</t>
  </si>
  <si>
    <t>OTS0221</t>
  </si>
  <si>
    <t>PL0000113148</t>
  </si>
  <si>
    <t>DOS1122</t>
  </si>
  <si>
    <t>PL0000113155</t>
  </si>
  <si>
    <t>TOZ1123</t>
  </si>
  <si>
    <t>PL0000113163</t>
  </si>
  <si>
    <t>COI1124</t>
  </si>
  <si>
    <t>PL0000113171</t>
  </si>
  <si>
    <t>EDO1130</t>
  </si>
  <si>
    <t>PL0000113189</t>
  </si>
  <si>
    <t>ROS1126</t>
  </si>
  <si>
    <t>PL0000113197</t>
  </si>
  <si>
    <t>ROD1132</t>
  </si>
  <si>
    <t>PL0000113205</t>
  </si>
  <si>
    <t>OTS0321</t>
  </si>
  <si>
    <t>PL0000113221</t>
  </si>
  <si>
    <t>DOS1222</t>
  </si>
  <si>
    <t>PL0000113239</t>
  </si>
  <si>
    <t>TOZ1223</t>
  </si>
  <si>
    <t>PL0000113247</t>
  </si>
  <si>
    <t>COI1224</t>
  </si>
  <si>
    <t>PL0000113254</t>
  </si>
  <si>
    <t>EDO1230</t>
  </si>
  <si>
    <t>PL0000113262</t>
  </si>
  <si>
    <t>ROS1226</t>
  </si>
  <si>
    <t>PL0000113270</t>
  </si>
  <si>
    <t>ROD1232</t>
  </si>
  <si>
    <t>PL0000113288</t>
  </si>
  <si>
    <t>OTS0421</t>
  </si>
  <si>
    <t>DOS0123</t>
  </si>
  <si>
    <t>TOZ0124</t>
  </si>
  <si>
    <t>COI0125</t>
  </si>
  <si>
    <t>EDO0131</t>
  </si>
  <si>
    <t>ROS0127</t>
  </si>
  <si>
    <t>ROD0133</t>
  </si>
  <si>
    <t>PL0000113304</t>
  </si>
  <si>
    <t>PL0000113312</t>
  </si>
  <si>
    <t>PL0000113320</t>
  </si>
  <si>
    <t>PL0000113338</t>
  </si>
  <si>
    <t>PL0000113346</t>
  </si>
  <si>
    <t>PL0000113353</t>
  </si>
  <si>
    <t>PL0000113361</t>
  </si>
  <si>
    <t>OTS0521</t>
  </si>
  <si>
    <t>PL0000113379</t>
  </si>
  <si>
    <t>PL0000113387</t>
  </si>
  <si>
    <t>DOS0223</t>
  </si>
  <si>
    <t>TOZ0224</t>
  </si>
  <si>
    <t>PL0000113395</t>
  </si>
  <si>
    <t>COI0225</t>
  </si>
  <si>
    <t>PL0000113403</t>
  </si>
  <si>
    <t>EDO0231</t>
  </si>
  <si>
    <t>PL0000113411</t>
  </si>
  <si>
    <t>ROS0227</t>
  </si>
  <si>
    <t>PL0000113429</t>
  </si>
  <si>
    <t>ROD0233</t>
  </si>
  <si>
    <t>PL0000113437</t>
  </si>
  <si>
    <t>OTS0621</t>
  </si>
  <si>
    <t>PL0000113478</t>
  </si>
  <si>
    <t>DOS0323</t>
  </si>
  <si>
    <t>PL0000113486</t>
  </si>
  <si>
    <t>TOZ0324</t>
  </si>
  <si>
    <t>PL0000113494</t>
  </si>
  <si>
    <t>COI0325</t>
  </si>
  <si>
    <t>PL0000113502</t>
  </si>
  <si>
    <t>EDO0331</t>
  </si>
  <si>
    <t>PL0000113510</t>
  </si>
  <si>
    <t>ROS0327</t>
  </si>
  <si>
    <t>PL0000113528</t>
  </si>
  <si>
    <t>ROD0333</t>
  </si>
  <si>
    <t>PL0000113536</t>
  </si>
  <si>
    <t>OTS0721</t>
  </si>
  <si>
    <t>PL0000113551</t>
  </si>
  <si>
    <t>DOS0423</t>
  </si>
  <si>
    <t>PL0000113569</t>
  </si>
  <si>
    <t>TOZ0424</t>
  </si>
  <si>
    <t>PL0000113577</t>
  </si>
  <si>
    <t>PL0000113585</t>
  </si>
  <si>
    <t>COI0425</t>
  </si>
  <si>
    <t>EDO0431</t>
  </si>
  <si>
    <t>PL0000113593</t>
  </si>
  <si>
    <t>ROS0427</t>
  </si>
  <si>
    <t>PL0000113601</t>
  </si>
  <si>
    <t>ROD0433</t>
  </si>
  <si>
    <t>PL0000113619</t>
  </si>
  <si>
    <t>OTS0821</t>
  </si>
  <si>
    <t>PL0000113643</t>
  </si>
  <si>
    <t>DOS0523</t>
  </si>
  <si>
    <t>TOZ0524</t>
  </si>
  <si>
    <t>PL0000113650</t>
  </si>
  <si>
    <t>PL0000113668</t>
  </si>
  <si>
    <t>COI0525</t>
  </si>
  <si>
    <t>PL0000113676</t>
  </si>
  <si>
    <t>EDO0531</t>
  </si>
  <si>
    <t>PL0000113684</t>
  </si>
  <si>
    <t>ROS0527</t>
  </si>
  <si>
    <t>PL0000113692</t>
  </si>
  <si>
    <t>ROD0533</t>
  </si>
  <si>
    <t>PL0000113700</t>
  </si>
  <si>
    <t>OTS0921</t>
  </si>
  <si>
    <t>PL0000113718</t>
  </si>
  <si>
    <t>DOS0623</t>
  </si>
  <si>
    <t>PL0000113726</t>
  </si>
  <si>
    <t>TOZ0624</t>
  </si>
  <si>
    <t>PL0000113734</t>
  </si>
  <si>
    <t>COI0625</t>
  </si>
  <si>
    <t>PL0000113742</t>
  </si>
  <si>
    <t>EDO0631</t>
  </si>
  <si>
    <t>PL0000113759</t>
  </si>
  <si>
    <t>ROS0627</t>
  </si>
  <si>
    <t>PL0000113767</t>
  </si>
  <si>
    <t>ROD0633</t>
  </si>
  <si>
    <t>PL0000113775</t>
  </si>
  <si>
    <t>OTS1021</t>
  </si>
  <si>
    <t>PL0000113817</t>
  </si>
  <si>
    <t>DOS0723</t>
  </si>
  <si>
    <t>PL0000113825</t>
  </si>
  <si>
    <t>TOZ0724</t>
  </si>
  <si>
    <t>PL0000113833</t>
  </si>
  <si>
    <t>PL0000113841</t>
  </si>
  <si>
    <t>COI0725</t>
  </si>
  <si>
    <t>EDO0731</t>
  </si>
  <si>
    <t>PL0000113858</t>
  </si>
  <si>
    <t>ROS0727</t>
  </si>
  <si>
    <t>PL0000113866</t>
  </si>
  <si>
    <t>ROD0733</t>
  </si>
  <si>
    <t>PL0000113874</t>
  </si>
  <si>
    <t>OTS1121</t>
  </si>
  <si>
    <t>COI0825</t>
  </si>
  <si>
    <t>DOS0823</t>
  </si>
  <si>
    <t>TOZ0824</t>
  </si>
  <si>
    <t>EDO0831</t>
  </si>
  <si>
    <t>ROS0827</t>
  </si>
  <si>
    <t>ROD0833</t>
  </si>
  <si>
    <t>PL0000113882</t>
  </si>
  <si>
    <t>PL0000113890</t>
  </si>
  <si>
    <t>PL0000113908</t>
  </si>
  <si>
    <t>PL0000113916</t>
  </si>
  <si>
    <t>PL0000113924</t>
  </si>
  <si>
    <t>PL0000113932</t>
  </si>
  <si>
    <t>PL0000113940</t>
  </si>
  <si>
    <t>OTS1221</t>
  </si>
  <si>
    <t>PL0000113957</t>
  </si>
  <si>
    <t>DOS0923</t>
  </si>
  <si>
    <t>PL0000113965</t>
  </si>
  <si>
    <t>TOZ0924</t>
  </si>
  <si>
    <t>PL0000113973</t>
  </si>
  <si>
    <t>COI0925</t>
  </si>
  <si>
    <t>PL0000113981</t>
  </si>
  <si>
    <t>EDO0931</t>
  </si>
  <si>
    <t>PL0000113999</t>
  </si>
  <si>
    <t>ROS0927</t>
  </si>
  <si>
    <t>PL0000114005</t>
  </si>
  <si>
    <t>ROD0933</t>
  </si>
  <si>
    <t>PL0000114013</t>
  </si>
  <si>
    <t>OTS0122</t>
  </si>
  <si>
    <t>PL0000114054</t>
  </si>
  <si>
    <t>DOS1023</t>
  </si>
  <si>
    <t>PL0000114062</t>
  </si>
  <si>
    <t>TOZ1024</t>
  </si>
  <si>
    <t>PL0000114070</t>
  </si>
  <si>
    <t>COI1025</t>
  </si>
  <si>
    <t>PL0000114088</t>
  </si>
  <si>
    <t>EDO1031</t>
  </si>
  <si>
    <t>PL0000114096</t>
  </si>
  <si>
    <t>ROS1027</t>
  </si>
  <si>
    <t>PL0000114104</t>
  </si>
  <si>
    <t>ROD1033</t>
  </si>
  <si>
    <t>PL0000114112</t>
  </si>
  <si>
    <t>OTS0222</t>
  </si>
  <si>
    <t>DOS1123</t>
  </si>
  <si>
    <t>TOZ1124</t>
  </si>
  <si>
    <t>COI1125</t>
  </si>
  <si>
    <t>EDO1131</t>
  </si>
  <si>
    <t>ROS1127</t>
  </si>
  <si>
    <t>ROD1133</t>
  </si>
  <si>
    <t>PL0000114138</t>
  </si>
  <si>
    <t>PL0000114146</t>
  </si>
  <si>
    <t>PL0000114153</t>
  </si>
  <si>
    <t>PL0000114161</t>
  </si>
  <si>
    <t>PL0000114179</t>
  </si>
  <si>
    <t>PL0000114187</t>
  </si>
  <si>
    <t>PL0000114195</t>
  </si>
  <si>
    <t>OTS0322</t>
  </si>
  <si>
    <t>PL0000114203</t>
  </si>
  <si>
    <t>DOS1223</t>
  </si>
  <si>
    <t>PL0000114211</t>
  </si>
  <si>
    <t>TOZ1224</t>
  </si>
  <si>
    <t>PL0000114229</t>
  </si>
  <si>
    <t>COI1225</t>
  </si>
  <si>
    <t>PL0000114237</t>
  </si>
  <si>
    <t>EDO1231</t>
  </si>
  <si>
    <t>PL0000114245</t>
  </si>
  <si>
    <t>ROS1227</t>
  </si>
  <si>
    <t>PL0000114252</t>
  </si>
  <si>
    <t>ROD1233</t>
  </si>
  <si>
    <t>PL0000114260</t>
  </si>
  <si>
    <t>OTS0422</t>
  </si>
  <si>
    <t>PL0000114294</t>
  </si>
  <si>
    <t>DOS0124</t>
  </si>
  <si>
    <t>PL0000114302</t>
  </si>
  <si>
    <t>TOZ0125</t>
  </si>
  <si>
    <t>PL0000114310</t>
  </si>
  <si>
    <t>COI0126</t>
  </si>
  <si>
    <t>PL0000114328</t>
  </si>
  <si>
    <t>PL0000114336</t>
  </si>
  <si>
    <t>EDO0132</t>
  </si>
  <si>
    <t>ROS0128</t>
  </si>
  <si>
    <t>PL0000114344</t>
  </si>
  <si>
    <t>ROD0134</t>
  </si>
  <si>
    <t>PL0000114351</t>
  </si>
  <si>
    <t>OTS0522</t>
  </si>
  <si>
    <t>PL0000114401</t>
  </si>
  <si>
    <t>PL0000114419</t>
  </si>
  <si>
    <t>TOZ0225</t>
  </si>
  <si>
    <t>DOS0224</t>
  </si>
  <si>
    <t>PL0000114427</t>
  </si>
  <si>
    <t>COI0226</t>
  </si>
  <si>
    <t>PL0000114435</t>
  </si>
  <si>
    <t>EDO0232</t>
  </si>
  <si>
    <t>PL0000114443</t>
  </si>
  <si>
    <t>ROS0228</t>
  </si>
  <si>
    <t>PL0000114450</t>
  </si>
  <si>
    <t>ROD0234</t>
  </si>
  <si>
    <t>PL0000114468</t>
  </si>
  <si>
    <r>
      <t>Premiowe oszczędnościowe obligacje skarbowe o oprocentowaniu stałym.
F</t>
    </r>
    <r>
      <rPr>
        <i/>
        <sz val="10"/>
        <rFont val="Arial"/>
        <family val="2"/>
      </rPr>
      <t>ixed rate premium savings bonds.</t>
    </r>
  </si>
  <si>
    <t>OTS0622</t>
  </si>
  <si>
    <t>PL0000114476</t>
  </si>
  <si>
    <t>POS0323</t>
  </si>
  <si>
    <t>PL0000114542</t>
  </si>
  <si>
    <t>DOS0324</t>
  </si>
  <si>
    <t>PL0000114484</t>
  </si>
  <si>
    <t>TOZ0325</t>
  </si>
  <si>
    <t>PL0000114492</t>
  </si>
  <si>
    <t>COI0326</t>
  </si>
  <si>
    <t>PL0000114500</t>
  </si>
  <si>
    <t>EDO0332</t>
  </si>
  <si>
    <t>PL0000114518</t>
  </si>
  <si>
    <t>ROS0328</t>
  </si>
  <si>
    <t>PL0000114526</t>
  </si>
  <si>
    <t>ROD0334</t>
  </si>
  <si>
    <t>PL0000114534</t>
  </si>
  <si>
    <t>OTS0722</t>
  </si>
  <si>
    <t>PL0000114567</t>
  </si>
  <si>
    <t>DOS0424</t>
  </si>
  <si>
    <t>PL0000114575</t>
  </si>
  <si>
    <t>TOZ0425</t>
  </si>
  <si>
    <t>PL0000114583</t>
  </si>
  <si>
    <t>COI0426</t>
  </si>
  <si>
    <t>PL0000114591</t>
  </si>
  <si>
    <t>EDO0432</t>
  </si>
  <si>
    <t>PL0000114609</t>
  </si>
  <si>
    <t>ROS0428</t>
  </si>
  <si>
    <t>PL0000114617</t>
  </si>
  <si>
    <t>ROD0434</t>
  </si>
  <si>
    <t>PL0000114625</t>
  </si>
  <si>
    <t>OTS0822</t>
  </si>
  <si>
    <t>PL0000114633</t>
  </si>
  <si>
    <t>DOS0524</t>
  </si>
  <si>
    <t>PL0000114658</t>
  </si>
  <si>
    <t>PL0000114641</t>
  </si>
  <si>
    <t>TOZ0525</t>
  </si>
  <si>
    <t>COI0526</t>
  </si>
  <si>
    <t>PL0000114666</t>
  </si>
  <si>
    <t>EDO0532</t>
  </si>
  <si>
    <t>PL0000114674</t>
  </si>
  <si>
    <t>ROS0528</t>
  </si>
  <si>
    <t>PL0000114682</t>
  </si>
  <si>
    <t>ROD0534</t>
  </si>
  <si>
    <t>PL0000114690</t>
  </si>
  <si>
    <t>ROR0623</t>
  </si>
  <si>
    <t xml:space="preserve"> w 1. roku</t>
  </si>
  <si>
    <t xml:space="preserve"> w 2. roku</t>
  </si>
  <si>
    <t xml:space="preserve"> w 3. roku</t>
  </si>
  <si>
    <t xml:space="preserve"> w 4. roku</t>
  </si>
  <si>
    <t xml:space="preserve"> w 5. roku</t>
  </si>
  <si>
    <t xml:space="preserve"> w 6. roku</t>
  </si>
  <si>
    <t xml:space="preserve"> w 7. roku</t>
  </si>
  <si>
    <t xml:space="preserve"> w 8. roku</t>
  </si>
  <si>
    <t xml:space="preserve"> w 9. roku</t>
  </si>
  <si>
    <t xml:space="preserve"> w 10. roku</t>
  </si>
  <si>
    <t xml:space="preserve"> w 11. roku</t>
  </si>
  <si>
    <t xml:space="preserve"> w 12. roku</t>
  </si>
  <si>
    <t>w 1. okresie</t>
  </si>
  <si>
    <t>w 2. okresie</t>
  </si>
  <si>
    <t>w 3. okresie</t>
  </si>
  <si>
    <t>w 4. okresie</t>
  </si>
  <si>
    <t>w 5. okresie</t>
  </si>
  <si>
    <t>w 6. okresie</t>
  </si>
  <si>
    <t>w 7. okresie</t>
  </si>
  <si>
    <t>w 8. okresie</t>
  </si>
  <si>
    <t>w 9. okresie</t>
  </si>
  <si>
    <t>w 10. okresie</t>
  </si>
  <si>
    <t>w 11. okresie</t>
  </si>
  <si>
    <t>w 12. okresie</t>
  </si>
  <si>
    <t>w 13. okresie</t>
  </si>
  <si>
    <t>w 14. okresie</t>
  </si>
  <si>
    <t>w 15. okresie</t>
  </si>
  <si>
    <t>w 16. okresie</t>
  </si>
  <si>
    <t>w 17. okresie</t>
  </si>
  <si>
    <t>w 18. okresie</t>
  </si>
  <si>
    <t>w 19. okresie</t>
  </si>
  <si>
    <t>w 20. okresie</t>
  </si>
  <si>
    <t>w 21. okresie</t>
  </si>
  <si>
    <t>w 22. okresie</t>
  </si>
  <si>
    <t>w 23. okresie</t>
  </si>
  <si>
    <t>w 24. okresie</t>
  </si>
  <si>
    <r>
      <t xml:space="preserve"> 7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period</t>
    </r>
  </si>
  <si>
    <r>
      <t xml:space="preserve">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period</t>
    </r>
  </si>
  <si>
    <r>
      <t xml:space="preserve"> 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period</t>
    </r>
  </si>
  <si>
    <r>
      <t xml:space="preserve"> 10</t>
    </r>
    <r>
      <rPr>
        <vertAlign val="superscript"/>
        <sz val="10"/>
        <rFont val="Arial"/>
        <family val="2"/>
      </rPr>
      <t>h</t>
    </r>
    <r>
      <rPr>
        <sz val="10"/>
        <rFont val="Arial"/>
        <family val="2"/>
      </rPr>
      <t xml:space="preserve"> period</t>
    </r>
  </si>
  <si>
    <r>
      <t xml:space="preserve"> 11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period</t>
    </r>
  </si>
  <si>
    <r>
      <t xml:space="preserve"> 12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period</t>
    </r>
  </si>
  <si>
    <r>
      <t>13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period</t>
    </r>
  </si>
  <si>
    <r>
      <t>14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period</t>
    </r>
  </si>
  <si>
    <r>
      <t>15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period</t>
    </r>
  </si>
  <si>
    <r>
      <t>16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period</t>
    </r>
  </si>
  <si>
    <r>
      <t>17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period</t>
    </r>
  </si>
  <si>
    <r>
      <t>18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period</t>
    </r>
  </si>
  <si>
    <r>
      <t>19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period</t>
    </r>
  </si>
  <si>
    <r>
      <t>20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period</t>
    </r>
  </si>
  <si>
    <r>
      <t>21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period</t>
    </r>
  </si>
  <si>
    <r>
      <t>22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period</t>
    </r>
  </si>
  <si>
    <r>
      <t>24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period</t>
    </r>
  </si>
  <si>
    <r>
      <t>23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period</t>
    </r>
  </si>
  <si>
    <t xml:space="preserve"> rok od dnia zakupu</t>
  </si>
  <si>
    <t xml:space="preserve"> year from day of purchase</t>
  </si>
  <si>
    <t>DOR0624</t>
  </si>
  <si>
    <t>ROR</t>
  </si>
  <si>
    <t>DOR</t>
  </si>
  <si>
    <r>
      <t xml:space="preserve">Dwuletnie oszczędnościowe obligacje skarbowe o zmiennej stopie procentowej.
</t>
    </r>
    <r>
      <rPr>
        <i/>
        <sz val="10"/>
        <rFont val="Arial"/>
        <family val="2"/>
      </rPr>
      <t>2-year floating rate savings bonds.</t>
    </r>
  </si>
  <si>
    <r>
      <t xml:space="preserve">Roczne oszczędnościowe obligacje skarbowe o zmiennej stopie procentowej.
</t>
    </r>
    <r>
      <rPr>
        <i/>
        <sz val="10"/>
        <rFont val="Arial"/>
        <family val="2"/>
      </rPr>
      <t>1-year floating rate savings bonds.</t>
    </r>
  </si>
  <si>
    <r>
      <t xml:space="preserve">Rodzinne dwunastoletnie oszczędnościowe obligacje skarbowe o oprocentowaniu indeksowanym inflacją, dedykowane beneficjentom Programu Rodzina 500+.
</t>
    </r>
    <r>
      <rPr>
        <i/>
        <sz val="10"/>
        <rFont val="Arial"/>
        <family val="2"/>
      </rPr>
      <t xml:space="preserve">12-year savings bonds, called „family bonds”, dedicated for beneficiaries of program „Family 500+”. </t>
    </r>
  </si>
  <si>
    <t>OTS0922</t>
  </si>
  <si>
    <t>PL0000114708</t>
  </si>
  <si>
    <t>PL0000114716</t>
  </si>
  <si>
    <t>PL0000114724</t>
  </si>
  <si>
    <t>TOZ0625</t>
  </si>
  <si>
    <t>PL0000114732</t>
  </si>
  <si>
    <t>COI0626</t>
  </si>
  <si>
    <t>PL0000114740</t>
  </si>
  <si>
    <t>EDO0632</t>
  </si>
  <si>
    <t>PL0000114757</t>
  </si>
  <si>
    <t>ROS0628</t>
  </si>
  <si>
    <t>PL0000114765</t>
  </si>
  <si>
    <t>PL0000114773</t>
  </si>
  <si>
    <t>ROD0634</t>
  </si>
  <si>
    <t>OTS1022</t>
  </si>
  <si>
    <t>PL0000114781</t>
  </si>
  <si>
    <t>ROR0723</t>
  </si>
  <si>
    <t>PL0000114799</t>
  </si>
  <si>
    <t>DOR0724</t>
  </si>
  <si>
    <t>PL0000114807</t>
  </si>
  <si>
    <t>TOZ0725</t>
  </si>
  <si>
    <t>PL0000114815</t>
  </si>
  <si>
    <t>COI0726</t>
  </si>
  <si>
    <t>PL0000114823</t>
  </si>
  <si>
    <t>EDO0732</t>
  </si>
  <si>
    <t>PL0000114831</t>
  </si>
  <si>
    <t>ROS0728</t>
  </si>
  <si>
    <t>PL0000114849</t>
  </si>
  <si>
    <t>ROD0734</t>
  </si>
  <si>
    <t>PL0000114856</t>
  </si>
  <si>
    <t>TOS0825</t>
  </si>
  <si>
    <t>TOS</t>
  </si>
  <si>
    <r>
      <t xml:space="preserve">Trzyletnie oszczędnościowe obligacje skarbowe o stałej stopie procentowej.
</t>
    </r>
    <r>
      <rPr>
        <i/>
        <sz val="10"/>
        <rFont val="Arial"/>
        <family val="2"/>
      </rPr>
      <t>3-year fixed rate savings bonds.</t>
    </r>
  </si>
  <si>
    <t>OTS1122</t>
  </si>
  <si>
    <t>PL0000114864</t>
  </si>
  <si>
    <t>OTS1222</t>
  </si>
  <si>
    <t>PL0000114948</t>
  </si>
  <si>
    <t>OTS0123</t>
  </si>
  <si>
    <t>PL0000115036</t>
  </si>
  <si>
    <t>OTS0223</t>
  </si>
  <si>
    <t>PL0000115119</t>
  </si>
  <si>
    <t>OTS0323</t>
  </si>
  <si>
    <t>PL0000115200</t>
  </si>
  <si>
    <t>OTS0423</t>
  </si>
  <si>
    <t>PL0000115309</t>
  </si>
  <si>
    <t>OTS0523</t>
  </si>
  <si>
    <t>PL0000115531</t>
  </si>
  <si>
    <t>OTS0623</t>
  </si>
  <si>
    <t>PL0000115614</t>
  </si>
  <si>
    <t>OTS0723</t>
  </si>
  <si>
    <t>PL0000115705</t>
  </si>
  <si>
    <t>OTS0823</t>
  </si>
  <si>
    <t>PL0000115788</t>
  </si>
  <si>
    <t>OTS0923</t>
  </si>
  <si>
    <t>PL0000115861</t>
  </si>
  <si>
    <t>OTS1023</t>
  </si>
  <si>
    <t>PL0000115945</t>
  </si>
  <si>
    <t>OTS1123</t>
  </si>
  <si>
    <t>PL0000116026</t>
  </si>
  <si>
    <t>OTS1223</t>
  </si>
  <si>
    <t>PL0000116109</t>
  </si>
  <si>
    <t>OTS0124</t>
  </si>
  <si>
    <t>PL0000116182</t>
  </si>
  <si>
    <t>OTS0224</t>
  </si>
  <si>
    <t>PL0000116273</t>
  </si>
  <si>
    <t>TOS0925</t>
  </si>
  <si>
    <t>PL0000114971</t>
  </si>
  <si>
    <t>TOS1025</t>
  </si>
  <si>
    <t>PL0000115069</t>
  </si>
  <si>
    <t>TOS1125</t>
  </si>
  <si>
    <t>PL0000115143</t>
  </si>
  <si>
    <t>TOS1225</t>
  </si>
  <si>
    <t>PL0000115234</t>
  </si>
  <si>
    <t>TOS0126</t>
  </si>
  <si>
    <t>PL0000115333</t>
  </si>
  <si>
    <t>TOS0226</t>
  </si>
  <si>
    <t>PL0000115564</t>
  </si>
  <si>
    <t>TOS0326</t>
  </si>
  <si>
    <t>PL0000115648</t>
  </si>
  <si>
    <t>TOS0426</t>
  </si>
  <si>
    <t>PL0000115739</t>
  </si>
  <si>
    <t>TOS0526</t>
  </si>
  <si>
    <t>PL0000115812</t>
  </si>
  <si>
    <t>TOS0626</t>
  </si>
  <si>
    <t>PL0000115895</t>
  </si>
  <si>
    <t>TOS0726</t>
  </si>
  <si>
    <t>PL0000115978</t>
  </si>
  <si>
    <t>TOS0826</t>
  </si>
  <si>
    <t>PL0000116059</t>
  </si>
  <si>
    <t>TOS0926</t>
  </si>
  <si>
    <t>PL0000116133</t>
  </si>
  <si>
    <t>TOS1026</t>
  </si>
  <si>
    <t>PL0000116216</t>
  </si>
  <si>
    <t>TOS1126</t>
  </si>
  <si>
    <t>PL0000116307</t>
  </si>
  <si>
    <t>COI0826</t>
  </si>
  <si>
    <t>PL0000114906</t>
  </si>
  <si>
    <t>COI0926</t>
  </si>
  <si>
    <t>PL0000114989</t>
  </si>
  <si>
    <t>COI1026</t>
  </si>
  <si>
    <t>PL0000115077</t>
  </si>
  <si>
    <t>COI1126</t>
  </si>
  <si>
    <t>PL0000115150</t>
  </si>
  <si>
    <t>COI1226</t>
  </si>
  <si>
    <t>PL0000115242</t>
  </si>
  <si>
    <t>COI0127</t>
  </si>
  <si>
    <t>PL0000115341</t>
  </si>
  <si>
    <t>COI0227</t>
  </si>
  <si>
    <t>PL0000115572</t>
  </si>
  <si>
    <t>COI0327</t>
  </si>
  <si>
    <t>PL0000115655</t>
  </si>
  <si>
    <t>COI0427</t>
  </si>
  <si>
    <t>PL0000115747</t>
  </si>
  <si>
    <t>COI0527</t>
  </si>
  <si>
    <t>PL0000115820</t>
  </si>
  <si>
    <t>COI0627</t>
  </si>
  <si>
    <t>PL0000115903</t>
  </si>
  <si>
    <t>COI0727</t>
  </si>
  <si>
    <t>PL0000115986</t>
  </si>
  <si>
    <t>COI0827</t>
  </si>
  <si>
    <t>PL0000116067</t>
  </si>
  <si>
    <t>COI0927</t>
  </si>
  <si>
    <t>PL0000116141</t>
  </si>
  <si>
    <t>COI1027</t>
  </si>
  <si>
    <t>PL0000116224</t>
  </si>
  <si>
    <t>COI1127</t>
  </si>
  <si>
    <t>PL0000116315</t>
  </si>
  <si>
    <t>ROR0823</t>
  </si>
  <si>
    <t>PL0000114872</t>
  </si>
  <si>
    <t>ROR0923</t>
  </si>
  <si>
    <t>PL0000114955</t>
  </si>
  <si>
    <t>ROR1023</t>
  </si>
  <si>
    <t>PL0000115044</t>
  </si>
  <si>
    <t>ROR1123</t>
  </si>
  <si>
    <t>PL0000115127</t>
  </si>
  <si>
    <t>ROR1223</t>
  </si>
  <si>
    <t>PL0000115218</t>
  </si>
  <si>
    <t>ROR0124</t>
  </si>
  <si>
    <t>PL0000115317</t>
  </si>
  <si>
    <t>ROR0224</t>
  </si>
  <si>
    <t>PL0000115549</t>
  </si>
  <si>
    <t>ROR0324</t>
  </si>
  <si>
    <t>PL0000115622</t>
  </si>
  <si>
    <t>ROR0424</t>
  </si>
  <si>
    <t>PL0000115713</t>
  </si>
  <si>
    <t>ROR0524</t>
  </si>
  <si>
    <t>PL0000115796</t>
  </si>
  <si>
    <t>ROR0624</t>
  </si>
  <si>
    <t>PL0000115879</t>
  </si>
  <si>
    <t>ROR0724</t>
  </si>
  <si>
    <t>PL0000115952</t>
  </si>
  <si>
    <t>ROR0824</t>
  </si>
  <si>
    <t>PL0000116034</t>
  </si>
  <si>
    <t>ROR0924</t>
  </si>
  <si>
    <t>PL0000116117</t>
  </si>
  <si>
    <t>ROR1024</t>
  </si>
  <si>
    <t>PL0000116190</t>
  </si>
  <si>
    <t>ROR1124</t>
  </si>
  <si>
    <t>PL0000116281</t>
  </si>
  <si>
    <t>DOR0824</t>
  </si>
  <si>
    <t>PL0000114880</t>
  </si>
  <si>
    <t>DOR0924</t>
  </si>
  <si>
    <t>PL0000114963</t>
  </si>
  <si>
    <t>DOR1024</t>
  </si>
  <si>
    <t>PL0000115051</t>
  </si>
  <si>
    <t>DOR1124</t>
  </si>
  <si>
    <t>PL0000115135</t>
  </si>
  <si>
    <t>DOR1224</t>
  </si>
  <si>
    <t>PL0000115226</t>
  </si>
  <si>
    <t>DOR0125</t>
  </si>
  <si>
    <t>PL0000115325</t>
  </si>
  <si>
    <t>DOR0225</t>
  </si>
  <si>
    <t>PL0000115556</t>
  </si>
  <si>
    <t>DOR0325</t>
  </si>
  <si>
    <t>PL0000115630</t>
  </si>
  <si>
    <t>DOR0425</t>
  </si>
  <si>
    <t>PL0000115721</t>
  </si>
  <si>
    <t>DOR0525</t>
  </si>
  <si>
    <t>PL0000115804</t>
  </si>
  <si>
    <t>DOR0625</t>
  </si>
  <si>
    <t>PL0000115887</t>
  </si>
  <si>
    <t>DOR0725</t>
  </si>
  <si>
    <t>PL0000115960</t>
  </si>
  <si>
    <t>DOR0825</t>
  </si>
  <si>
    <t>PL0000116042</t>
  </si>
  <si>
    <t>DOR0925</t>
  </si>
  <si>
    <t>PL0000116125</t>
  </si>
  <si>
    <t>DOR1025</t>
  </si>
  <si>
    <t>PL0000116208</t>
  </si>
  <si>
    <t>DOR1125</t>
  </si>
  <si>
    <t>PL0000116299</t>
  </si>
  <si>
    <t>EDO0832</t>
  </si>
  <si>
    <t>PL0000114914</t>
  </si>
  <si>
    <t>EDO0932</t>
  </si>
  <si>
    <t>PL0000114997</t>
  </si>
  <si>
    <t>EDO1032</t>
  </si>
  <si>
    <t>PL0000115085</t>
  </si>
  <si>
    <t>EDO1132</t>
  </si>
  <si>
    <t>PL0000115168</t>
  </si>
  <si>
    <t>EDO1232</t>
  </si>
  <si>
    <t>PL0000115259</t>
  </si>
  <si>
    <t>EDO0133</t>
  </si>
  <si>
    <t>PL0000115358</t>
  </si>
  <si>
    <t>EDO0233</t>
  </si>
  <si>
    <t>PL0000115580</t>
  </si>
  <si>
    <t>EDO0333</t>
  </si>
  <si>
    <t>PL0000115663</t>
  </si>
  <si>
    <t>EDO0433</t>
  </si>
  <si>
    <t>PL0000115754</t>
  </si>
  <si>
    <t>EDO0533</t>
  </si>
  <si>
    <t>PL0000115838</t>
  </si>
  <si>
    <t>EDO0633</t>
  </si>
  <si>
    <t>PL0000115911</t>
  </si>
  <si>
    <t>EDO0733</t>
  </si>
  <si>
    <t>PL0000115994</t>
  </si>
  <si>
    <t>EDO0833</t>
  </si>
  <si>
    <t>PL0000116075</t>
  </si>
  <si>
    <t>EDO0933</t>
  </si>
  <si>
    <t>PL0000116158</t>
  </si>
  <si>
    <t>EDO1033</t>
  </si>
  <si>
    <t>PL0000116232</t>
  </si>
  <si>
    <t>EDO1133</t>
  </si>
  <si>
    <t>PL0000116323</t>
  </si>
  <si>
    <t>ROS0828</t>
  </si>
  <si>
    <t>PL0000114922</t>
  </si>
  <si>
    <t>ROS0928</t>
  </si>
  <si>
    <t>PL0000115002</t>
  </si>
  <si>
    <t>ROS1028</t>
  </si>
  <si>
    <t>PL0000115093</t>
  </si>
  <si>
    <t>ROS1128</t>
  </si>
  <si>
    <t>PL0000115176</t>
  </si>
  <si>
    <t>ROS1228</t>
  </si>
  <si>
    <t>PL0000115267</t>
  </si>
  <si>
    <t>ROS0129</t>
  </si>
  <si>
    <t>PL0000115366</t>
  </si>
  <si>
    <t>ROS0229</t>
  </si>
  <si>
    <t>PL0000115598</t>
  </si>
  <si>
    <t>ROS0329</t>
  </si>
  <si>
    <t>PL0000115671</t>
  </si>
  <si>
    <t>ROS0429</t>
  </si>
  <si>
    <t>PL0000115762</t>
  </si>
  <si>
    <t>ROS0529</t>
  </si>
  <si>
    <t>PL0000115846</t>
  </si>
  <si>
    <t>ROS0629</t>
  </si>
  <si>
    <t>PL0000115929</t>
  </si>
  <si>
    <t>ROS0729</t>
  </si>
  <si>
    <t>PL0000116000</t>
  </si>
  <si>
    <t>ROS0829</t>
  </si>
  <si>
    <t>PL0000116083</t>
  </si>
  <si>
    <t>ROS0929</t>
  </si>
  <si>
    <t>PL0000116166</t>
  </si>
  <si>
    <t>ROS1029</t>
  </si>
  <si>
    <t>PL0000116240</t>
  </si>
  <si>
    <t>ROS1129</t>
  </si>
  <si>
    <t>PL0000116331</t>
  </si>
  <si>
    <t>ROD0834</t>
  </si>
  <si>
    <t>PL0000114930</t>
  </si>
  <si>
    <t>ROD0934</t>
  </si>
  <si>
    <t>PL0000115010</t>
  </si>
  <si>
    <t>ROD1034</t>
  </si>
  <si>
    <t>PL0000115101</t>
  </si>
  <si>
    <t>ROD1134</t>
  </si>
  <si>
    <t>PL0000115184</t>
  </si>
  <si>
    <t>ROD1234</t>
  </si>
  <si>
    <t>PL0000115275</t>
  </si>
  <si>
    <t>ROD0135</t>
  </si>
  <si>
    <t>PL0000115374</t>
  </si>
  <si>
    <t>ROD0235</t>
  </si>
  <si>
    <t>PL0000115606</t>
  </si>
  <si>
    <t>ROD0335</t>
  </si>
  <si>
    <t>PL0000115689</t>
  </si>
  <si>
    <t>ROD0435</t>
  </si>
  <si>
    <t>PL0000115770</t>
  </si>
  <si>
    <t>ROD0535</t>
  </si>
  <si>
    <t>PL0000115853</t>
  </si>
  <si>
    <t>ROD0635</t>
  </si>
  <si>
    <t>PL0000115937</t>
  </si>
  <si>
    <t>ROD0735</t>
  </si>
  <si>
    <t>PL0000116018</t>
  </si>
  <si>
    <t>ROD0835</t>
  </si>
  <si>
    <t>PL0000116091</t>
  </si>
  <si>
    <t>ROD0935</t>
  </si>
  <si>
    <t>PL0000116174</t>
  </si>
  <si>
    <t>ROD1035</t>
  </si>
  <si>
    <t>PL0000116257</t>
  </si>
  <si>
    <t>ROD1135</t>
  </si>
  <si>
    <t>PL0000116349</t>
  </si>
  <si>
    <t>OTS0324</t>
  </si>
  <si>
    <t>PL0000116356</t>
  </si>
  <si>
    <t>ROR1224</t>
  </si>
  <si>
    <t>PL0000116364</t>
  </si>
  <si>
    <t>DOR1225</t>
  </si>
  <si>
    <t>PL0000116372</t>
  </si>
  <si>
    <t>TOS1226</t>
  </si>
  <si>
    <t>PL0000116380</t>
  </si>
  <si>
    <t>COI1227</t>
  </si>
  <si>
    <t>PL0000116398</t>
  </si>
  <si>
    <t>EDO1233</t>
  </si>
  <si>
    <t>PL0000116406</t>
  </si>
  <si>
    <t>ROS1229</t>
  </si>
  <si>
    <t>PL0000116414</t>
  </si>
  <si>
    <t>ROD1235</t>
  </si>
  <si>
    <t>PL0000116422</t>
  </si>
  <si>
    <t>OTS0424</t>
  </si>
  <si>
    <t>PL0000116430</t>
  </si>
  <si>
    <t>ROR0125</t>
  </si>
  <si>
    <t>DOR0126</t>
  </si>
  <si>
    <t>PL0000116448</t>
  </si>
  <si>
    <t>PL0000116455</t>
  </si>
  <si>
    <t>TOS0127</t>
  </si>
  <si>
    <t>PL0000116463</t>
  </si>
  <si>
    <t>COI0128</t>
  </si>
  <si>
    <t>PL0000116471</t>
  </si>
  <si>
    <t>EDO0134</t>
  </si>
  <si>
    <t>PL0000116489</t>
  </si>
  <si>
    <t>ROS0130</t>
  </si>
  <si>
    <t>PL0000116497</t>
  </si>
  <si>
    <t>ROD0136</t>
  </si>
  <si>
    <t>PL0000116505</t>
  </si>
  <si>
    <t>OTS0524</t>
  </si>
  <si>
    <t>PL0000116604</t>
  </si>
  <si>
    <t>ROR0225</t>
  </si>
  <si>
    <t>PL0000116612</t>
  </si>
  <si>
    <t>PL0000116620</t>
  </si>
  <si>
    <t>DOR0226</t>
  </si>
  <si>
    <t>PL0000116638</t>
  </si>
  <si>
    <t>TOS0227</t>
  </si>
  <si>
    <t>COI0228</t>
  </si>
  <si>
    <t>PL0000116646</t>
  </si>
  <si>
    <t>EDO0234</t>
  </si>
  <si>
    <t>PL0000116653</t>
  </si>
  <si>
    <t>ROS0230</t>
  </si>
  <si>
    <t>PL0000116661</t>
  </si>
  <si>
    <t>ROD0236</t>
  </si>
  <si>
    <t>PL0000116679</t>
  </si>
  <si>
    <t>OTS0624</t>
  </si>
  <si>
    <t>PL0000116687</t>
  </si>
  <si>
    <t>ROR0325</t>
  </si>
  <si>
    <t>PL0000116695</t>
  </si>
  <si>
    <t>DOR0326</t>
  </si>
  <si>
    <t>PL0000116703</t>
  </si>
  <si>
    <t>TOS0327</t>
  </si>
  <si>
    <t>PL0000116711</t>
  </si>
  <si>
    <t>COI0328</t>
  </si>
  <si>
    <t>PL0000116729</t>
  </si>
  <si>
    <t>EDO0334</t>
  </si>
  <si>
    <t>PL0000116737</t>
  </si>
  <si>
    <t>ROS0330</t>
  </si>
  <si>
    <t>PL0000116745</t>
  </si>
  <si>
    <t>ROD0336</t>
  </si>
  <si>
    <t>PL0000116752</t>
  </si>
  <si>
    <t>OTS0724</t>
  </si>
  <si>
    <t>PL0000116778</t>
  </si>
  <si>
    <t>ROR0425</t>
  </si>
  <si>
    <t>DOR0426</t>
  </si>
  <si>
    <t>PL0000116786</t>
  </si>
  <si>
    <t>PL0000116794</t>
  </si>
  <si>
    <t>TOS0427</t>
  </si>
  <si>
    <t>PL0000116802</t>
  </si>
  <si>
    <t>COI0428</t>
  </si>
  <si>
    <t>PL0000116810</t>
  </si>
  <si>
    <t>EDO0434</t>
  </si>
  <si>
    <t>PL0000116828</t>
  </si>
  <si>
    <t>ROS0430</t>
  </si>
  <si>
    <t>PL0000116836</t>
  </si>
  <si>
    <t>ROD0436</t>
  </si>
  <si>
    <t>PL0000116844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</si>
</sst>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0.000_)"/>
    <numFmt numFmtId="169" formatCode="_ * #,##0_ ;_ * \-#,##0_ ;_ * &quot;-&quot;_ ;_ @_ "/>
    <numFmt numFmtId="170" formatCode="_ * #,##0.00_ ;_ * \-#,##0.00_ ;_ * &quot;-&quot;??_ ;_ @_ "/>
    <numFmt numFmtId="171" formatCode="0.00_)"/>
    <numFmt numFmtId="172" formatCode=";;;"/>
    <numFmt numFmtId="173" formatCode="0.000"/>
    <numFmt numFmtId="174" formatCode="0.0000"/>
    <numFmt numFmtId="175" formatCode="0.00000"/>
    <numFmt numFmtId="176" formatCode="0.0%"/>
    <numFmt numFmtId="177" formatCode="mmm/yyyy"/>
    <numFmt numFmtId="178" formatCode="#,##0.00_ ;\-#,##0.00\ "/>
    <numFmt numFmtId="179" formatCode="#,##0.000"/>
    <numFmt numFmtId="180" formatCode="#,##0.0000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_-* #,##0.0000\ _z_ł_-;\-* #,##0.0000\ _z_ł_-;_-* &quot;-&quot;??\ _z_ł_-;_-@_-"/>
    <numFmt numFmtId="185" formatCode="_-* #,##0.000000\ _z_ł_-;\-* #,##0.000000\ _z_ł_-;_-* &quot;-&quot;??\ _z_ł_-;_-@_-"/>
    <numFmt numFmtId="186" formatCode="_-* #,##0.000\ _z_ł_-;\-* #,##0.000\ _z_ł_-;_-* &quot;-&quot;??\ _z_ł_-;_-@_-"/>
    <numFmt numFmtId="187" formatCode="0.0"/>
    <numFmt numFmtId="188" formatCode="[$€-2]\ #,##0.00_);[Red]\([$€-2]\ #,##0.00\)"/>
    <numFmt numFmtId="189" formatCode="[$-415]d\ mmmm\ yyyy"/>
    <numFmt numFmtId="190" formatCode="_-* #,##0.0\ _z_ł_-;\-* #,##0.0\ _z_ł_-;_-* &quot;-&quot;??\ _z_ł_-;_-@_-"/>
    <numFmt numFmtId="191" formatCode="#,##0.00000"/>
    <numFmt numFmtId="192" formatCode="#,##0.000_ ;\-#,##0.000\ "/>
    <numFmt numFmtId="193" formatCode="0.000000"/>
    <numFmt numFmtId="194" formatCode="#,##0.000000"/>
    <numFmt numFmtId="195" formatCode="#,##0.0000000"/>
    <numFmt numFmtId="196" formatCode="#,##0.0000_ ;\-#,##0.0000\ "/>
    <numFmt numFmtId="197" formatCode="#,##0.00000_ ;\-#,##0.00000\ "/>
    <numFmt numFmtId="198" formatCode="#,##0.0"/>
    <numFmt numFmtId="199" formatCode="0.0000000"/>
  </numFmts>
  <fonts count="61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1"/>
      <name val="Tms Rmn"/>
      <family val="0"/>
    </font>
    <font>
      <sz val="10"/>
      <name val="Arial"/>
      <family val="2"/>
    </font>
    <font>
      <sz val="10"/>
      <name val="Arial CE"/>
      <family val="0"/>
    </font>
    <font>
      <u val="single"/>
      <sz val="8.4"/>
      <color indexed="12"/>
      <name val="Arial"/>
      <family val="2"/>
    </font>
    <font>
      <b/>
      <i/>
      <sz val="16"/>
      <name val="Helv"/>
      <family val="0"/>
    </font>
    <font>
      <sz val="12"/>
      <name val="Helv"/>
      <family val="0"/>
    </font>
    <font>
      <sz val="8"/>
      <name val="Arial CE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 CE"/>
      <family val="2"/>
    </font>
    <font>
      <vertAlign val="superscript"/>
      <sz val="10"/>
      <name val="Arial"/>
      <family val="2"/>
    </font>
    <font>
      <b/>
      <sz val="10"/>
      <color indexed="10"/>
      <name val="Times New Roman CE"/>
      <family val="1"/>
    </font>
    <font>
      <b/>
      <sz val="14"/>
      <color indexed="10"/>
      <name val="Arial"/>
      <family val="2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color indexed="62"/>
      <name val="Calibri"/>
      <family val="2"/>
    </font>
    <font>
      <b/>
      <sz val="11"/>
      <name val="Calibri"/>
      <family val="2"/>
    </font>
    <font>
      <sz val="11"/>
      <name val="Meta Offc Pro Book"/>
      <family val="0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168" fontId="4" fillId="0" borderId="0">
      <alignment/>
      <protection/>
    </xf>
    <xf numFmtId="168" fontId="4" fillId="0" borderId="0">
      <alignment/>
      <protection/>
    </xf>
    <xf numFmtId="168" fontId="4" fillId="0" borderId="0">
      <alignment/>
      <protection/>
    </xf>
    <xf numFmtId="168" fontId="4" fillId="0" borderId="0">
      <alignment/>
      <protection/>
    </xf>
    <xf numFmtId="168" fontId="4" fillId="0" borderId="0">
      <alignment/>
      <protection/>
    </xf>
    <xf numFmtId="168" fontId="4" fillId="0" borderId="0">
      <alignment/>
      <protection/>
    </xf>
    <xf numFmtId="168" fontId="4" fillId="0" borderId="0">
      <alignment/>
      <protection/>
    </xf>
    <xf numFmtId="168" fontId="4" fillId="0" borderId="0">
      <alignment/>
      <protection/>
    </xf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8" fillId="0" borderId="0">
      <alignment/>
      <protection/>
    </xf>
    <xf numFmtId="37" fontId="9" fillId="0" borderId="0">
      <alignment/>
      <protection/>
    </xf>
    <xf numFmtId="0" fontId="6" fillId="0" borderId="0">
      <alignment/>
      <protection/>
    </xf>
    <xf numFmtId="0" fontId="54" fillId="27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3" fontId="1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0" fontId="5" fillId="0" borderId="0" xfId="7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 horizontal="center"/>
    </xf>
    <xf numFmtId="0" fontId="17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0" xfId="7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0" fontId="0" fillId="0" borderId="0" xfId="70" applyNumberFormat="1" applyFill="1" applyBorder="1" applyAlignment="1">
      <alignment/>
    </xf>
    <xf numFmtId="165" fontId="5" fillId="0" borderId="0" xfId="54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6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0" fillId="0" borderId="0" xfId="0" applyFont="1" applyBorder="1" applyAlignment="1">
      <alignment/>
    </xf>
    <xf numFmtId="10" fontId="11" fillId="33" borderId="12" xfId="7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178" fontId="5" fillId="0" borderId="13" xfId="54" applyNumberFormat="1" applyFont="1" applyFill="1" applyBorder="1" applyAlignment="1">
      <alignment/>
    </xf>
    <xf numFmtId="178" fontId="5" fillId="0" borderId="14" xfId="54" applyNumberFormat="1" applyFont="1" applyFill="1" applyBorder="1" applyAlignment="1">
      <alignment/>
    </xf>
    <xf numFmtId="178" fontId="5" fillId="0" borderId="15" xfId="54" applyNumberFormat="1" applyFont="1" applyFill="1" applyBorder="1" applyAlignment="1">
      <alignment/>
    </xf>
    <xf numFmtId="178" fontId="5" fillId="0" borderId="16" xfId="54" applyNumberFormat="1" applyFont="1" applyFill="1" applyBorder="1" applyAlignment="1">
      <alignment/>
    </xf>
    <xf numFmtId="10" fontId="5" fillId="0" borderId="14" xfId="70" applyNumberFormat="1" applyFont="1" applyFill="1" applyBorder="1" applyAlignment="1">
      <alignment horizontal="center"/>
    </xf>
    <xf numFmtId="10" fontId="5" fillId="0" borderId="15" xfId="70" applyNumberFormat="1" applyFont="1" applyFill="1" applyBorder="1" applyAlignment="1">
      <alignment horizontal="center"/>
    </xf>
    <xf numFmtId="10" fontId="5" fillId="0" borderId="16" xfId="7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/>
    </xf>
    <xf numFmtId="10" fontId="5" fillId="0" borderId="13" xfId="0" applyNumberFormat="1" applyFont="1" applyFill="1" applyBorder="1" applyAlignment="1">
      <alignment/>
    </xf>
    <xf numFmtId="10" fontId="5" fillId="0" borderId="14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10" fontId="5" fillId="0" borderId="16" xfId="0" applyNumberFormat="1" applyFont="1" applyFill="1" applyBorder="1" applyAlignment="1">
      <alignment/>
    </xf>
    <xf numFmtId="10" fontId="5" fillId="0" borderId="15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5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5" fillId="0" borderId="17" xfId="0" applyFont="1" applyBorder="1" applyAlignment="1">
      <alignment vertical="center" wrapText="1"/>
    </xf>
    <xf numFmtId="0" fontId="25" fillId="0" borderId="18" xfId="56" applyFont="1" applyBorder="1" applyAlignment="1" applyProtection="1">
      <alignment horizontal="center" vertical="center"/>
      <protection/>
    </xf>
    <xf numFmtId="0" fontId="5" fillId="0" borderId="19" xfId="0" applyFont="1" applyBorder="1" applyAlignment="1">
      <alignment vertical="center" wrapText="1"/>
    </xf>
    <xf numFmtId="0" fontId="25" fillId="0" borderId="20" xfId="56" applyFont="1" applyBorder="1" applyAlignment="1" applyProtection="1">
      <alignment horizontal="center" vertical="center"/>
      <protection/>
    </xf>
    <xf numFmtId="0" fontId="5" fillId="0" borderId="21" xfId="0" applyFont="1" applyBorder="1" applyAlignment="1">
      <alignment vertical="center" wrapText="1"/>
    </xf>
    <xf numFmtId="10" fontId="5" fillId="0" borderId="13" xfId="0" applyNumberFormat="1" applyFont="1" applyBorder="1" applyAlignment="1">
      <alignment horizontal="center"/>
    </xf>
    <xf numFmtId="0" fontId="25" fillId="0" borderId="22" xfId="56" applyFont="1" applyBorder="1" applyAlignment="1" applyProtection="1">
      <alignment horizontal="center" vertical="center"/>
      <protection/>
    </xf>
    <xf numFmtId="0" fontId="5" fillId="0" borderId="23" xfId="0" applyFont="1" applyBorder="1" applyAlignment="1">
      <alignment vertical="center" wrapText="1"/>
    </xf>
    <xf numFmtId="10" fontId="5" fillId="0" borderId="14" xfId="70" applyNumberFormat="1" applyFont="1" applyBorder="1" applyAlignment="1">
      <alignment horizontal="center"/>
    </xf>
    <xf numFmtId="10" fontId="5" fillId="0" borderId="13" xfId="70" applyNumberFormat="1" applyFont="1" applyBorder="1" applyAlignment="1">
      <alignment horizontal="center"/>
    </xf>
    <xf numFmtId="10" fontId="5" fillId="0" borderId="16" xfId="70" applyNumberFormat="1" applyFont="1" applyBorder="1" applyAlignment="1">
      <alignment horizontal="center"/>
    </xf>
    <xf numFmtId="10" fontId="5" fillId="0" borderId="15" xfId="70" applyNumberFormat="1" applyFont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4" fontId="5" fillId="0" borderId="16" xfId="70" applyNumberFormat="1" applyFont="1" applyFill="1" applyBorder="1" applyAlignment="1">
      <alignment horizontal="center"/>
    </xf>
    <xf numFmtId="4" fontId="0" fillId="0" borderId="0" xfId="7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0" fontId="5" fillId="0" borderId="14" xfId="0" applyNumberFormat="1" applyFont="1" applyFill="1" applyBorder="1" applyAlignment="1">
      <alignment horizontal="center"/>
    </xf>
    <xf numFmtId="10" fontId="5" fillId="0" borderId="15" xfId="0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65" fontId="0" fillId="0" borderId="0" xfId="54" applyFont="1" applyFill="1" applyBorder="1" applyAlignment="1">
      <alignment/>
    </xf>
    <xf numFmtId="4" fontId="5" fillId="0" borderId="15" xfId="7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0" fontId="0" fillId="0" borderId="14" xfId="70" applyNumberFormat="1" applyFont="1" applyBorder="1" applyAlignment="1">
      <alignment horizontal="center"/>
    </xf>
    <xf numFmtId="10" fontId="0" fillId="0" borderId="16" xfId="70" applyNumberFormat="1" applyFont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11" fillId="35" borderId="24" xfId="0" applyFont="1" applyFill="1" applyBorder="1" applyAlignment="1">
      <alignment horizontal="center"/>
    </xf>
    <xf numFmtId="14" fontId="5" fillId="0" borderId="24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14" fontId="5" fillId="0" borderId="24" xfId="0" applyNumberFormat="1" applyFont="1" applyBorder="1" applyAlignment="1">
      <alignment horizontal="center"/>
    </xf>
    <xf numFmtId="10" fontId="11" fillId="33" borderId="24" xfId="7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/>
    </xf>
    <xf numFmtId="0" fontId="11" fillId="35" borderId="14" xfId="0" applyFont="1" applyFill="1" applyBorder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right"/>
    </xf>
    <xf numFmtId="0" fontId="11" fillId="33" borderId="16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14" fontId="5" fillId="0" borderId="16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right"/>
    </xf>
    <xf numFmtId="14" fontId="5" fillId="0" borderId="13" xfId="0" applyNumberFormat="1" applyFont="1" applyBorder="1" applyAlignment="1">
      <alignment horizontal="center"/>
    </xf>
    <xf numFmtId="4" fontId="11" fillId="33" borderId="14" xfId="0" applyNumberFormat="1" applyFont="1" applyFill="1" applyBorder="1" applyAlignment="1">
      <alignment horizontal="center"/>
    </xf>
    <xf numFmtId="4" fontId="11" fillId="35" borderId="14" xfId="0" applyNumberFormat="1" applyFont="1" applyFill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right"/>
    </xf>
    <xf numFmtId="4" fontId="5" fillId="0" borderId="14" xfId="54" applyNumberFormat="1" applyFont="1" applyFill="1" applyBorder="1" applyAlignment="1">
      <alignment/>
    </xf>
    <xf numFmtId="4" fontId="11" fillId="33" borderId="16" xfId="0" applyNumberFormat="1" applyFont="1" applyFill="1" applyBorder="1" applyAlignment="1">
      <alignment horizontal="center"/>
    </xf>
    <xf numFmtId="4" fontId="11" fillId="35" borderId="16" xfId="0" applyNumberFormat="1" applyFont="1" applyFill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right"/>
    </xf>
    <xf numFmtId="4" fontId="5" fillId="0" borderId="16" xfId="54" applyNumberFormat="1" applyFont="1" applyFill="1" applyBorder="1" applyAlignment="1">
      <alignment/>
    </xf>
    <xf numFmtId="0" fontId="11" fillId="33" borderId="12" xfId="67" applyFont="1" applyFill="1" applyBorder="1" applyAlignment="1">
      <alignment horizontal="center" vertical="center" wrapText="1"/>
      <protection/>
    </xf>
    <xf numFmtId="14" fontId="5" fillId="0" borderId="14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14" fontId="5" fillId="0" borderId="16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14" fontId="5" fillId="0" borderId="15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4" fontId="5" fillId="0" borderId="15" xfId="0" applyNumberFormat="1" applyFont="1" applyBorder="1" applyAlignment="1">
      <alignment horizontal="right"/>
    </xf>
    <xf numFmtId="2" fontId="5" fillId="0" borderId="14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4" fontId="11" fillId="33" borderId="15" xfId="0" applyNumberFormat="1" applyFont="1" applyFill="1" applyBorder="1" applyAlignment="1">
      <alignment horizontal="center"/>
    </xf>
    <xf numFmtId="4" fontId="11" fillId="35" borderId="15" xfId="0" applyNumberFormat="1" applyFont="1" applyFill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5" fillId="0" borderId="15" xfId="54" applyNumberFormat="1" applyFont="1" applyFill="1" applyBorder="1" applyAlignment="1">
      <alignment/>
    </xf>
    <xf numFmtId="0" fontId="12" fillId="33" borderId="12" xfId="67" applyFont="1" applyFill="1" applyBorder="1" applyAlignment="1">
      <alignment horizontal="center" vertical="center" wrapText="1"/>
      <protection/>
    </xf>
    <xf numFmtId="0" fontId="11" fillId="33" borderId="12" xfId="67" applyFont="1" applyFill="1" applyBorder="1" applyAlignment="1">
      <alignment horizontal="center" vertical="center" wrapText="1"/>
      <protection/>
    </xf>
    <xf numFmtId="0" fontId="11" fillId="33" borderId="13" xfId="0" applyFont="1" applyFill="1" applyBorder="1" applyAlignment="1">
      <alignment horizontal="center"/>
    </xf>
    <xf numFmtId="0" fontId="11" fillId="35" borderId="13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14" fontId="5" fillId="0" borderId="15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4" fontId="5" fillId="0" borderId="15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14" fontId="5" fillId="0" borderId="14" xfId="0" applyNumberFormat="1" applyFont="1" applyBorder="1" applyAlignment="1">
      <alignment horizontal="center"/>
    </xf>
    <xf numFmtId="4" fontId="5" fillId="0" borderId="14" xfId="54" applyNumberFormat="1" applyFont="1" applyFill="1" applyBorder="1" applyAlignment="1">
      <alignment horizontal="right"/>
    </xf>
    <xf numFmtId="10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10" fontId="5" fillId="0" borderId="25" xfId="70" applyNumberFormat="1" applyFont="1" applyFill="1" applyBorder="1" applyAlignment="1">
      <alignment horizontal="center"/>
    </xf>
    <xf numFmtId="14" fontId="5" fillId="0" borderId="16" xfId="0" applyNumberFormat="1" applyFont="1" applyBorder="1" applyAlignment="1">
      <alignment horizontal="center"/>
    </xf>
    <xf numFmtId="4" fontId="5" fillId="0" borderId="16" xfId="54" applyNumberFormat="1" applyFont="1" applyFill="1" applyBorder="1" applyAlignment="1">
      <alignment horizontal="right"/>
    </xf>
    <xf numFmtId="10" fontId="5" fillId="0" borderId="16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10" fontId="5" fillId="0" borderId="26" xfId="70" applyNumberFormat="1" applyFont="1" applyFill="1" applyBorder="1" applyAlignment="1">
      <alignment horizontal="center"/>
    </xf>
    <xf numFmtId="14" fontId="5" fillId="0" borderId="15" xfId="0" applyNumberFormat="1" applyFont="1" applyBorder="1" applyAlignment="1">
      <alignment horizontal="center"/>
    </xf>
    <xf numFmtId="4" fontId="5" fillId="0" borderId="15" xfId="54" applyNumberFormat="1" applyFont="1" applyFill="1" applyBorder="1" applyAlignment="1">
      <alignment horizontal="right"/>
    </xf>
    <xf numFmtId="10" fontId="5" fillId="0" borderId="15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10" fontId="5" fillId="0" borderId="27" xfId="0" applyNumberFormat="1" applyFont="1" applyBorder="1" applyAlignment="1">
      <alignment/>
    </xf>
    <xf numFmtId="10" fontId="5" fillId="0" borderId="28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2" fontId="5" fillId="0" borderId="28" xfId="0" applyNumberFormat="1" applyFont="1" applyBorder="1" applyAlignment="1">
      <alignment/>
    </xf>
    <xf numFmtId="4" fontId="5" fillId="0" borderId="15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3" xfId="54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right"/>
    </xf>
    <xf numFmtId="2" fontId="5" fillId="0" borderId="13" xfId="54" applyNumberFormat="1" applyFont="1" applyBorder="1" applyAlignment="1">
      <alignment horizontal="right"/>
    </xf>
    <xf numFmtId="165" fontId="5" fillId="0" borderId="13" xfId="54" applyNumberFormat="1" applyFont="1" applyFill="1" applyBorder="1" applyAlignment="1">
      <alignment horizontal="center"/>
    </xf>
    <xf numFmtId="2" fontId="5" fillId="0" borderId="14" xfId="54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right"/>
    </xf>
    <xf numFmtId="2" fontId="5" fillId="0" borderId="14" xfId="54" applyNumberFormat="1" applyFont="1" applyBorder="1" applyAlignment="1">
      <alignment horizontal="right"/>
    </xf>
    <xf numFmtId="165" fontId="5" fillId="0" borderId="14" xfId="54" applyNumberFormat="1" applyFont="1" applyFill="1" applyBorder="1" applyAlignment="1">
      <alignment horizontal="center"/>
    </xf>
    <xf numFmtId="2" fontId="5" fillId="0" borderId="16" xfId="54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right"/>
    </xf>
    <xf numFmtId="2" fontId="5" fillId="0" borderId="16" xfId="54" applyNumberFormat="1" applyFont="1" applyBorder="1" applyAlignment="1">
      <alignment horizontal="right"/>
    </xf>
    <xf numFmtId="165" fontId="5" fillId="0" borderId="16" xfId="54" applyNumberFormat="1" applyFont="1" applyFill="1" applyBorder="1" applyAlignment="1">
      <alignment horizontal="center"/>
    </xf>
    <xf numFmtId="165" fontId="5" fillId="0" borderId="15" xfId="54" applyNumberFormat="1" applyFont="1" applyFill="1" applyBorder="1" applyAlignment="1">
      <alignment horizontal="center"/>
    </xf>
    <xf numFmtId="2" fontId="5" fillId="0" borderId="15" xfId="54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right"/>
    </xf>
    <xf numFmtId="2" fontId="5" fillId="0" borderId="15" xfId="54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10" fontId="5" fillId="0" borderId="15" xfId="0" applyNumberFormat="1" applyFont="1" applyBorder="1" applyAlignment="1">
      <alignment horizontal="center"/>
    </xf>
    <xf numFmtId="165" fontId="5" fillId="0" borderId="15" xfId="54" applyFont="1" applyFill="1" applyBorder="1" applyAlignment="1">
      <alignment horizontal="center"/>
    </xf>
    <xf numFmtId="10" fontId="5" fillId="0" borderId="14" xfId="0" applyNumberFormat="1" applyFont="1" applyBorder="1" applyAlignment="1">
      <alignment horizontal="center"/>
    </xf>
    <xf numFmtId="165" fontId="5" fillId="0" borderId="14" xfId="54" applyFont="1" applyFill="1" applyBorder="1" applyAlignment="1">
      <alignment horizontal="center"/>
    </xf>
    <xf numFmtId="2" fontId="5" fillId="0" borderId="16" xfId="0" applyNumberFormat="1" applyFont="1" applyBorder="1" applyAlignment="1">
      <alignment horizontal="right"/>
    </xf>
    <xf numFmtId="10" fontId="5" fillId="0" borderId="16" xfId="0" applyNumberFormat="1" applyFont="1" applyBorder="1" applyAlignment="1">
      <alignment horizontal="center"/>
    </xf>
    <xf numFmtId="165" fontId="5" fillId="0" borderId="16" xfId="54" applyFont="1" applyFill="1" applyBorder="1" applyAlignment="1">
      <alignment horizontal="center"/>
    </xf>
    <xf numFmtId="10" fontId="5" fillId="0" borderId="29" xfId="0" applyNumberFormat="1" applyFont="1" applyBorder="1" applyAlignment="1">
      <alignment horizontal="center"/>
    </xf>
    <xf numFmtId="165" fontId="5" fillId="0" borderId="29" xfId="54" applyFont="1" applyFill="1" applyBorder="1" applyAlignment="1">
      <alignment horizontal="center"/>
    </xf>
    <xf numFmtId="2" fontId="5" fillId="0" borderId="15" xfId="0" applyNumberFormat="1" applyFont="1" applyBorder="1" applyAlignment="1">
      <alignment horizontal="right"/>
    </xf>
    <xf numFmtId="4" fontId="5" fillId="0" borderId="14" xfId="54" applyNumberFormat="1" applyFont="1" applyBorder="1" applyAlignment="1">
      <alignment horizontal="right"/>
    </xf>
    <xf numFmtId="2" fontId="5" fillId="0" borderId="14" xfId="54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right"/>
    </xf>
    <xf numFmtId="4" fontId="5" fillId="0" borderId="14" xfId="54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2" fontId="5" fillId="0" borderId="16" xfId="54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right"/>
    </xf>
    <xf numFmtId="4" fontId="5" fillId="0" borderId="16" xfId="54" applyNumberFormat="1" applyFont="1" applyFill="1" applyBorder="1" applyAlignment="1">
      <alignment horizontal="center"/>
    </xf>
    <xf numFmtId="2" fontId="5" fillId="0" borderId="14" xfId="54" applyNumberFormat="1" applyFont="1" applyFill="1" applyBorder="1" applyAlignment="1">
      <alignment horizontal="center"/>
    </xf>
    <xf numFmtId="165" fontId="5" fillId="0" borderId="15" xfId="0" applyNumberFormat="1" applyFont="1" applyBorder="1" applyAlignment="1">
      <alignment/>
    </xf>
    <xf numFmtId="165" fontId="5" fillId="0" borderId="14" xfId="0" applyNumberFormat="1" applyFont="1" applyBorder="1" applyAlignment="1">
      <alignment/>
    </xf>
    <xf numFmtId="165" fontId="5" fillId="0" borderId="16" xfId="0" applyNumberFormat="1" applyFont="1" applyBorder="1" applyAlignment="1">
      <alignment/>
    </xf>
    <xf numFmtId="9" fontId="5" fillId="0" borderId="14" xfId="70" applyFont="1" applyBorder="1" applyAlignment="1">
      <alignment horizontal="center"/>
    </xf>
    <xf numFmtId="9" fontId="5" fillId="0" borderId="16" xfId="70" applyFont="1" applyBorder="1" applyAlignment="1">
      <alignment horizontal="center"/>
    </xf>
    <xf numFmtId="2" fontId="5" fillId="0" borderId="15" xfId="54" applyNumberFormat="1" applyFont="1" applyFill="1" applyBorder="1" applyAlignment="1">
      <alignment horizontal="center"/>
    </xf>
    <xf numFmtId="4" fontId="5" fillId="0" borderId="15" xfId="54" applyNumberFormat="1" applyFont="1" applyFill="1" applyBorder="1" applyAlignment="1">
      <alignment horizontal="center"/>
    </xf>
    <xf numFmtId="9" fontId="5" fillId="0" borderId="15" xfId="70" applyFont="1" applyBorder="1" applyAlignment="1">
      <alignment horizontal="center"/>
    </xf>
    <xf numFmtId="0" fontId="0" fillId="0" borderId="16" xfId="0" applyBorder="1" applyAlignment="1">
      <alignment/>
    </xf>
    <xf numFmtId="10" fontId="0" fillId="0" borderId="15" xfId="70" applyNumberFormat="1" applyFont="1" applyBorder="1" applyAlignment="1">
      <alignment horizontal="center"/>
    </xf>
    <xf numFmtId="0" fontId="11" fillId="33" borderId="12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right"/>
    </xf>
    <xf numFmtId="10" fontId="5" fillId="0" borderId="16" xfId="7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right"/>
    </xf>
    <xf numFmtId="10" fontId="5" fillId="0" borderId="15" xfId="70" applyNumberFormat="1" applyFont="1" applyFill="1" applyBorder="1" applyAlignment="1">
      <alignment horizontal="center" vertical="center" wrapText="1"/>
    </xf>
    <xf numFmtId="10" fontId="5" fillId="0" borderId="16" xfId="70" applyNumberFormat="1" applyFont="1" applyFill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right"/>
    </xf>
    <xf numFmtId="10" fontId="5" fillId="0" borderId="24" xfId="70" applyNumberFormat="1" applyFont="1" applyFill="1" applyBorder="1" applyAlignment="1">
      <alignment horizontal="center" vertical="center" wrapText="1"/>
    </xf>
    <xf numFmtId="0" fontId="12" fillId="33" borderId="13" xfId="67" applyFont="1" applyFill="1" applyBorder="1" applyAlignment="1">
      <alignment horizontal="center" vertical="center"/>
      <protection/>
    </xf>
    <xf numFmtId="0" fontId="11" fillId="33" borderId="12" xfId="0" applyFont="1" applyFill="1" applyBorder="1" applyAlignment="1">
      <alignment horizontal="center" vertical="center"/>
    </xf>
    <xf numFmtId="0" fontId="11" fillId="33" borderId="12" xfId="67" applyFont="1" applyFill="1" applyBorder="1" applyAlignment="1">
      <alignment horizontal="center" vertical="center"/>
      <protection/>
    </xf>
    <xf numFmtId="0" fontId="11" fillId="35" borderId="14" xfId="0" applyFont="1" applyFill="1" applyBorder="1" applyAlignment="1">
      <alignment horizontal="left"/>
    </xf>
    <xf numFmtId="3" fontId="5" fillId="0" borderId="14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/>
    </xf>
    <xf numFmtId="10" fontId="5" fillId="0" borderId="14" xfId="7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11" fillId="35" borderId="16" xfId="0" applyFont="1" applyFill="1" applyBorder="1" applyAlignment="1">
      <alignment horizontal="left"/>
    </xf>
    <xf numFmtId="2" fontId="5" fillId="0" borderId="16" xfId="0" applyNumberFormat="1" applyFont="1" applyBorder="1" applyAlignment="1">
      <alignment horizontal="center" vertical="center"/>
    </xf>
    <xf numFmtId="10" fontId="5" fillId="0" borderId="16" xfId="7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11" fillId="35" borderId="15" xfId="0" applyFont="1" applyFill="1" applyBorder="1" applyAlignment="1">
      <alignment horizontal="left"/>
    </xf>
    <xf numFmtId="2" fontId="5" fillId="0" borderId="15" xfId="0" applyNumberFormat="1" applyFont="1" applyBorder="1" applyAlignment="1">
      <alignment horizontal="center" vertical="center"/>
    </xf>
    <xf numFmtId="10" fontId="5" fillId="0" borderId="15" xfId="7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3" fontId="5" fillId="0" borderId="14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2" fontId="5" fillId="0" borderId="14" xfId="67" applyNumberFormat="1" applyFont="1" applyBorder="1" applyAlignment="1">
      <alignment horizontal="right"/>
      <protection/>
    </xf>
    <xf numFmtId="10" fontId="5" fillId="0" borderId="14" xfId="0" applyNumberFormat="1" applyFont="1" applyBorder="1" applyAlignment="1">
      <alignment horizontal="right"/>
    </xf>
    <xf numFmtId="14" fontId="5" fillId="0" borderId="14" xfId="0" applyNumberFormat="1" applyFont="1" applyFill="1" applyBorder="1" applyAlignment="1">
      <alignment horizontal="center"/>
    </xf>
    <xf numFmtId="0" fontId="11" fillId="33" borderId="13" xfId="67" applyFont="1" applyFill="1" applyBorder="1" applyAlignment="1">
      <alignment horizontal="center" vertical="center"/>
      <protection/>
    </xf>
    <xf numFmtId="0" fontId="11" fillId="36" borderId="13" xfId="0" applyFont="1" applyFill="1" applyBorder="1" applyAlignment="1">
      <alignment horizontal="center"/>
    </xf>
    <xf numFmtId="3" fontId="5" fillId="0" borderId="13" xfId="0" applyNumberFormat="1" applyFont="1" applyBorder="1" applyAlignment="1">
      <alignment horizontal="right"/>
    </xf>
    <xf numFmtId="10" fontId="5" fillId="0" borderId="13" xfId="70" applyNumberFormat="1" applyFont="1" applyBorder="1" applyAlignment="1">
      <alignment horizontal="center"/>
    </xf>
    <xf numFmtId="0" fontId="11" fillId="36" borderId="16" xfId="0" applyFont="1" applyFill="1" applyBorder="1" applyAlignment="1">
      <alignment horizontal="center"/>
    </xf>
    <xf numFmtId="3" fontId="5" fillId="0" borderId="16" xfId="0" applyNumberFormat="1" applyFont="1" applyBorder="1" applyAlignment="1">
      <alignment horizontal="right"/>
    </xf>
    <xf numFmtId="10" fontId="5" fillId="0" borderId="16" xfId="70" applyNumberFormat="1" applyFont="1" applyBorder="1" applyAlignment="1">
      <alignment horizontal="center"/>
    </xf>
    <xf numFmtId="0" fontId="11" fillId="36" borderId="15" xfId="0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right"/>
    </xf>
    <xf numFmtId="10" fontId="5" fillId="0" borderId="15" xfId="7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2" fontId="5" fillId="0" borderId="0" xfId="67" applyNumberFormat="1" applyFont="1" applyBorder="1" applyAlignment="1">
      <alignment horizontal="center"/>
      <protection/>
    </xf>
    <xf numFmtId="4" fontId="5" fillId="0" borderId="16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10" fontId="5" fillId="0" borderId="14" xfId="70" applyNumberFormat="1" applyFont="1" applyBorder="1" applyAlignment="1">
      <alignment horizontal="center"/>
    </xf>
    <xf numFmtId="4" fontId="5" fillId="0" borderId="16" xfId="0" applyNumberFormat="1" applyFont="1" applyFill="1" applyBorder="1" applyAlignment="1">
      <alignment horizontal="right"/>
    </xf>
    <xf numFmtId="10" fontId="5" fillId="0" borderId="16" xfId="7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right"/>
    </xf>
    <xf numFmtId="10" fontId="5" fillId="0" borderId="14" xfId="7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right"/>
    </xf>
    <xf numFmtId="4" fontId="5" fillId="0" borderId="15" xfId="0" applyNumberFormat="1" applyFont="1" applyFill="1" applyBorder="1" applyAlignment="1">
      <alignment horizontal="right"/>
    </xf>
    <xf numFmtId="10" fontId="5" fillId="0" borderId="15" xfId="70" applyNumberFormat="1" applyFont="1" applyFill="1" applyBorder="1" applyAlignment="1">
      <alignment horizontal="center"/>
    </xf>
    <xf numFmtId="2" fontId="5" fillId="0" borderId="14" xfId="54" applyNumberFormat="1" applyFont="1" applyFill="1" applyBorder="1" applyAlignment="1">
      <alignment horizontal="right"/>
    </xf>
    <xf numFmtId="2" fontId="5" fillId="0" borderId="16" xfId="54" applyNumberFormat="1" applyFont="1" applyFill="1" applyBorder="1" applyAlignment="1">
      <alignment horizontal="right"/>
    </xf>
    <xf numFmtId="2" fontId="5" fillId="0" borderId="15" xfId="54" applyNumberFormat="1" applyFont="1" applyFill="1" applyBorder="1" applyAlignment="1">
      <alignment horizontal="right"/>
    </xf>
    <xf numFmtId="2" fontId="5" fillId="0" borderId="14" xfId="0" applyNumberFormat="1" applyFont="1" applyFill="1" applyBorder="1" applyAlignment="1">
      <alignment horizontal="right"/>
    </xf>
    <xf numFmtId="2" fontId="5" fillId="0" borderId="16" xfId="0" applyNumberFormat="1" applyFont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5" fillId="0" borderId="16" xfId="0" applyNumberFormat="1" applyFont="1" applyBorder="1" applyAlignment="1">
      <alignment horizontal="right"/>
    </xf>
    <xf numFmtId="2" fontId="5" fillId="0" borderId="16" xfId="0" applyNumberFormat="1" applyFont="1" applyFill="1" applyBorder="1" applyAlignment="1">
      <alignment horizontal="right"/>
    </xf>
    <xf numFmtId="2" fontId="5" fillId="0" borderId="14" xfId="0" applyNumberFormat="1" applyFont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5" fillId="0" borderId="14" xfId="0" applyNumberFormat="1" applyFont="1" applyBorder="1" applyAlignment="1">
      <alignment horizontal="right"/>
    </xf>
    <xf numFmtId="2" fontId="5" fillId="0" borderId="14" xfId="0" applyNumberFormat="1" applyFont="1" applyFill="1" applyBorder="1" applyAlignment="1">
      <alignment horizontal="right"/>
    </xf>
    <xf numFmtId="2" fontId="5" fillId="0" borderId="15" xfId="0" applyNumberFormat="1" applyFont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5" fillId="0" borderId="15" xfId="0" applyNumberFormat="1" applyFont="1" applyBorder="1" applyAlignment="1">
      <alignment horizontal="right"/>
    </xf>
    <xf numFmtId="2" fontId="5" fillId="0" borderId="15" xfId="0" applyNumberFormat="1" applyFont="1" applyFill="1" applyBorder="1" applyAlignment="1">
      <alignment horizontal="right"/>
    </xf>
    <xf numFmtId="0" fontId="12" fillId="33" borderId="13" xfId="67" applyFont="1" applyFill="1" applyBorder="1" applyAlignment="1">
      <alignment horizontal="center"/>
      <protection/>
    </xf>
    <xf numFmtId="0" fontId="12" fillId="35" borderId="13" xfId="67" applyFont="1" applyFill="1" applyBorder="1" applyAlignment="1">
      <alignment horizontal="center"/>
      <protection/>
    </xf>
    <xf numFmtId="14" fontId="5" fillId="0" borderId="13" xfId="67" applyNumberFormat="1" applyFont="1" applyBorder="1" applyAlignment="1">
      <alignment horizontal="center"/>
      <protection/>
    </xf>
    <xf numFmtId="2" fontId="5" fillId="0" borderId="13" xfId="67" applyNumberFormat="1" applyFont="1" applyBorder="1" applyAlignment="1">
      <alignment horizontal="center"/>
      <protection/>
    </xf>
    <xf numFmtId="0" fontId="5" fillId="0" borderId="13" xfId="0" applyFont="1" applyBorder="1" applyAlignment="1" quotePrefix="1">
      <alignment horizontal="center"/>
    </xf>
    <xf numFmtId="2" fontId="5" fillId="0" borderId="13" xfId="67" applyNumberFormat="1" applyFont="1" applyBorder="1" applyAlignment="1" quotePrefix="1">
      <alignment horizontal="center"/>
      <protection/>
    </xf>
    <xf numFmtId="3" fontId="5" fillId="0" borderId="13" xfId="67" applyNumberFormat="1" applyFont="1" applyBorder="1" applyAlignment="1" quotePrefix="1">
      <alignment horizontal="right"/>
      <protection/>
    </xf>
    <xf numFmtId="165" fontId="5" fillId="0" borderId="13" xfId="54" applyFont="1" applyBorder="1" applyAlignment="1">
      <alignment horizontal="center"/>
    </xf>
    <xf numFmtId="165" fontId="15" fillId="0" borderId="13" xfId="54" applyFont="1" applyFill="1" applyBorder="1" applyAlignment="1">
      <alignment horizontal="center"/>
    </xf>
    <xf numFmtId="165" fontId="5" fillId="0" borderId="14" xfId="54" applyFont="1" applyBorder="1" applyAlignment="1">
      <alignment horizontal="center"/>
    </xf>
    <xf numFmtId="14" fontId="5" fillId="0" borderId="13" xfId="0" applyNumberFormat="1" applyFont="1" applyBorder="1" applyAlignment="1" quotePrefix="1">
      <alignment horizontal="center"/>
    </xf>
    <xf numFmtId="0" fontId="12" fillId="33" borderId="16" xfId="67" applyFont="1" applyFill="1" applyBorder="1" applyAlignment="1">
      <alignment horizontal="center"/>
      <protection/>
    </xf>
    <xf numFmtId="0" fontId="12" fillId="35" borderId="16" xfId="67" applyFont="1" applyFill="1" applyBorder="1" applyAlignment="1">
      <alignment horizontal="center"/>
      <protection/>
    </xf>
    <xf numFmtId="14" fontId="5" fillId="0" borderId="16" xfId="67" applyNumberFormat="1" applyFont="1" applyBorder="1" applyAlignment="1">
      <alignment horizontal="center"/>
      <protection/>
    </xf>
    <xf numFmtId="2" fontId="5" fillId="0" borderId="16" xfId="67" applyNumberFormat="1" applyFont="1" applyBorder="1" applyAlignment="1">
      <alignment horizontal="center"/>
      <protection/>
    </xf>
    <xf numFmtId="2" fontId="5" fillId="0" borderId="16" xfId="0" applyNumberFormat="1" applyFont="1" applyFill="1" applyBorder="1" applyAlignment="1">
      <alignment/>
    </xf>
    <xf numFmtId="165" fontId="5" fillId="0" borderId="16" xfId="54" applyFont="1" applyBorder="1" applyAlignment="1">
      <alignment horizontal="center"/>
    </xf>
    <xf numFmtId="165" fontId="5" fillId="0" borderId="16" xfId="54" applyFont="1" applyBorder="1" applyAlignment="1" quotePrefix="1">
      <alignment horizontal="center"/>
    </xf>
    <xf numFmtId="14" fontId="5" fillId="0" borderId="16" xfId="0" applyNumberFormat="1" applyFont="1" applyBorder="1" applyAlignment="1" quotePrefix="1">
      <alignment horizontal="center"/>
    </xf>
    <xf numFmtId="0" fontId="5" fillId="0" borderId="16" xfId="0" applyFont="1" applyFill="1" applyBorder="1" applyAlignment="1" quotePrefix="1">
      <alignment horizontal="center"/>
    </xf>
    <xf numFmtId="0" fontId="12" fillId="33" borderId="14" xfId="67" applyFont="1" applyFill="1" applyBorder="1" applyAlignment="1">
      <alignment horizontal="center"/>
      <protection/>
    </xf>
    <xf numFmtId="0" fontId="12" fillId="35" borderId="14" xfId="67" applyFont="1" applyFill="1" applyBorder="1" applyAlignment="1">
      <alignment horizontal="center"/>
      <protection/>
    </xf>
    <xf numFmtId="14" fontId="5" fillId="0" borderId="14" xfId="67" applyNumberFormat="1" applyFont="1" applyBorder="1" applyAlignment="1">
      <alignment horizontal="center"/>
      <protection/>
    </xf>
    <xf numFmtId="2" fontId="5" fillId="0" borderId="14" xfId="67" applyNumberFormat="1" applyFont="1" applyBorder="1" applyAlignment="1">
      <alignment horizontal="center"/>
      <protection/>
    </xf>
    <xf numFmtId="2" fontId="5" fillId="0" borderId="14" xfId="0" applyNumberFormat="1" applyFont="1" applyFill="1" applyBorder="1" applyAlignment="1">
      <alignment/>
    </xf>
    <xf numFmtId="165" fontId="5" fillId="0" borderId="14" xfId="54" applyFont="1" applyBorder="1" applyAlignment="1" quotePrefix="1">
      <alignment horizontal="center"/>
    </xf>
    <xf numFmtId="14" fontId="5" fillId="0" borderId="14" xfId="0" applyNumberFormat="1" applyFont="1" applyBorder="1" applyAlignment="1" quotePrefix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Border="1" applyAlignment="1" quotePrefix="1">
      <alignment horizontal="center"/>
    </xf>
    <xf numFmtId="2" fontId="5" fillId="0" borderId="14" xfId="67" applyNumberFormat="1" applyFont="1" applyBorder="1" applyAlignment="1" quotePrefix="1">
      <alignment horizontal="center"/>
      <protection/>
    </xf>
    <xf numFmtId="3" fontId="5" fillId="0" borderId="14" xfId="67" applyNumberFormat="1" applyFont="1" applyBorder="1" applyAlignment="1" quotePrefix="1">
      <alignment horizontal="right"/>
      <protection/>
    </xf>
    <xf numFmtId="165" fontId="15" fillId="0" borderId="14" xfId="54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65" fontId="5" fillId="0" borderId="16" xfId="54" applyFont="1" applyFill="1" applyBorder="1" applyAlignment="1">
      <alignment horizontal="center"/>
    </xf>
    <xf numFmtId="165" fontId="5" fillId="0" borderId="14" xfId="54" applyFont="1" applyFill="1" applyBorder="1" applyAlignment="1">
      <alignment horizontal="center"/>
    </xf>
    <xf numFmtId="165" fontId="5" fillId="0" borderId="14" xfId="54" applyFont="1" applyFill="1" applyBorder="1" applyAlignment="1">
      <alignment/>
    </xf>
    <xf numFmtId="165" fontId="5" fillId="0" borderId="16" xfId="54" applyFont="1" applyFill="1" applyBorder="1" applyAlignment="1">
      <alignment/>
    </xf>
    <xf numFmtId="175" fontId="5" fillId="0" borderId="14" xfId="0" applyNumberFormat="1" applyFont="1" applyBorder="1" applyAlignment="1">
      <alignment horizontal="center"/>
    </xf>
    <xf numFmtId="2" fontId="5" fillId="0" borderId="16" xfId="67" applyNumberFormat="1" applyFont="1" applyBorder="1" applyAlignment="1">
      <alignment horizontal="center"/>
      <protection/>
    </xf>
    <xf numFmtId="175" fontId="5" fillId="0" borderId="16" xfId="0" applyNumberFormat="1" applyFont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2" fontId="5" fillId="0" borderId="14" xfId="67" applyNumberFormat="1" applyFont="1" applyBorder="1" applyAlignment="1">
      <alignment horizontal="center"/>
      <protection/>
    </xf>
    <xf numFmtId="0" fontId="12" fillId="33" borderId="24" xfId="67" applyFont="1" applyFill="1" applyBorder="1" applyAlignment="1">
      <alignment horizontal="center"/>
      <protection/>
    </xf>
    <xf numFmtId="0" fontId="12" fillId="35" borderId="24" xfId="67" applyFont="1" applyFill="1" applyBorder="1" applyAlignment="1">
      <alignment horizontal="center"/>
      <protection/>
    </xf>
    <xf numFmtId="14" fontId="5" fillId="0" borderId="24" xfId="67" applyNumberFormat="1" applyFont="1" applyBorder="1" applyAlignment="1">
      <alignment horizontal="center"/>
      <protection/>
    </xf>
    <xf numFmtId="2" fontId="5" fillId="0" borderId="24" xfId="67" applyNumberFormat="1" applyFont="1" applyBorder="1" applyAlignment="1">
      <alignment horizontal="center"/>
      <protection/>
    </xf>
    <xf numFmtId="2" fontId="5" fillId="0" borderId="24" xfId="0" applyNumberFormat="1" applyFont="1" applyFill="1" applyBorder="1" applyAlignment="1">
      <alignment/>
    </xf>
    <xf numFmtId="2" fontId="5" fillId="0" borderId="24" xfId="0" applyNumberFormat="1" applyFont="1" applyBorder="1" applyAlignment="1">
      <alignment horizontal="right"/>
    </xf>
    <xf numFmtId="0" fontId="5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14" fontId="11" fillId="33" borderId="12" xfId="67" applyNumberFormat="1" applyFont="1" applyFill="1" applyBorder="1" applyAlignment="1">
      <alignment horizontal="center" vertical="center" wrapText="1"/>
      <protection/>
    </xf>
    <xf numFmtId="0" fontId="11" fillId="33" borderId="30" xfId="0" applyFont="1" applyFill="1" applyBorder="1" applyAlignment="1">
      <alignment horizontal="center"/>
    </xf>
    <xf numFmtId="0" fontId="11" fillId="35" borderId="30" xfId="0" applyFont="1" applyFill="1" applyBorder="1" applyAlignment="1">
      <alignment horizontal="center"/>
    </xf>
    <xf numFmtId="14" fontId="5" fillId="0" borderId="30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right"/>
    </xf>
    <xf numFmtId="10" fontId="5" fillId="0" borderId="30" xfId="7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right"/>
    </xf>
    <xf numFmtId="0" fontId="11" fillId="0" borderId="11" xfId="0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10" fontId="5" fillId="0" borderId="11" xfId="70" applyNumberFormat="1" applyFont="1" applyFill="1" applyBorder="1" applyAlignment="1">
      <alignment horizontal="center"/>
    </xf>
    <xf numFmtId="0" fontId="11" fillId="33" borderId="31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10" fontId="5" fillId="0" borderId="32" xfId="70" applyNumberFormat="1" applyFont="1" applyFill="1" applyBorder="1" applyAlignment="1">
      <alignment horizontal="center"/>
    </xf>
    <xf numFmtId="0" fontId="12" fillId="33" borderId="24" xfId="67" applyFont="1" applyFill="1" applyBorder="1" applyAlignment="1">
      <alignment horizontal="center" vertical="center" wrapText="1"/>
      <protection/>
    </xf>
    <xf numFmtId="0" fontId="11" fillId="33" borderId="24" xfId="67" applyFont="1" applyFill="1" applyBorder="1" applyAlignment="1">
      <alignment horizontal="center" vertical="center" wrapText="1"/>
      <protection/>
    </xf>
    <xf numFmtId="0" fontId="11" fillId="33" borderId="24" xfId="67" applyFont="1" applyFill="1" applyBorder="1" applyAlignment="1">
      <alignment horizontal="center" vertical="center" wrapText="1"/>
      <protection/>
    </xf>
    <xf numFmtId="10" fontId="11" fillId="33" borderId="24" xfId="70" applyNumberFormat="1" applyFont="1" applyFill="1" applyBorder="1" applyAlignment="1">
      <alignment horizontal="center" vertical="center" wrapText="1"/>
    </xf>
    <xf numFmtId="0" fontId="11" fillId="33" borderId="13" xfId="67" applyFont="1" applyFill="1" applyBorder="1" applyAlignment="1">
      <alignment horizontal="center" vertical="center" wrapText="1"/>
      <protection/>
    </xf>
    <xf numFmtId="0" fontId="11" fillId="33" borderId="33" xfId="67" applyFont="1" applyFill="1" applyBorder="1" applyAlignment="1">
      <alignment horizontal="center" vertical="center" wrapText="1"/>
      <protection/>
    </xf>
    <xf numFmtId="0" fontId="11" fillId="33" borderId="13" xfId="67" applyFont="1" applyFill="1" applyBorder="1" applyAlignment="1">
      <alignment horizontal="center" vertical="center" wrapText="1"/>
      <protection/>
    </xf>
    <xf numFmtId="0" fontId="11" fillId="33" borderId="33" xfId="67" applyFont="1" applyFill="1" applyBorder="1" applyAlignment="1">
      <alignment horizontal="center" vertical="center" wrapText="1"/>
      <protection/>
    </xf>
    <xf numFmtId="10" fontId="11" fillId="33" borderId="12" xfId="70" applyNumberFormat="1" applyFont="1" applyFill="1" applyBorder="1" applyAlignment="1">
      <alignment horizontal="center" vertical="center" wrapText="1"/>
    </xf>
    <xf numFmtId="0" fontId="11" fillId="33" borderId="12" xfId="67" applyFont="1" applyFill="1" applyBorder="1" applyAlignment="1">
      <alignment horizontal="center" vertical="center" wrapText="1"/>
      <protection/>
    </xf>
    <xf numFmtId="10" fontId="11" fillId="33" borderId="13" xfId="70" applyNumberFormat="1" applyFont="1" applyFill="1" applyBorder="1" applyAlignment="1">
      <alignment horizontal="center" vertical="center" wrapText="1"/>
    </xf>
    <xf numFmtId="10" fontId="11" fillId="33" borderId="33" xfId="70" applyNumberFormat="1" applyFont="1" applyFill="1" applyBorder="1" applyAlignment="1">
      <alignment horizontal="center" vertical="center" wrapText="1"/>
    </xf>
    <xf numFmtId="0" fontId="12" fillId="33" borderId="13" xfId="67" applyFont="1" applyFill="1" applyBorder="1" applyAlignment="1">
      <alignment horizontal="center" vertical="center" wrapText="1"/>
      <protection/>
    </xf>
    <xf numFmtId="0" fontId="12" fillId="33" borderId="33" xfId="67" applyFont="1" applyFill="1" applyBorder="1" applyAlignment="1">
      <alignment horizontal="center" vertical="center" wrapText="1"/>
      <protection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2" fillId="33" borderId="13" xfId="67" applyFont="1" applyFill="1" applyBorder="1" applyAlignment="1">
      <alignment horizontal="center" vertical="center"/>
      <protection/>
    </xf>
    <xf numFmtId="0" fontId="12" fillId="33" borderId="33" xfId="67" applyFont="1" applyFill="1" applyBorder="1" applyAlignment="1">
      <alignment horizontal="center" vertical="center"/>
      <protection/>
    </xf>
    <xf numFmtId="0" fontId="11" fillId="33" borderId="12" xfId="0" applyFont="1" applyFill="1" applyBorder="1" applyAlignment="1">
      <alignment horizontal="center"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 - Style1" xfId="39"/>
    <cellStyle name="Comma  - Style2" xfId="40"/>
    <cellStyle name="Comma  - Style3" xfId="41"/>
    <cellStyle name="Comma  - Style4" xfId="42"/>
    <cellStyle name="Comma  - Style5" xfId="43"/>
    <cellStyle name="Comma  - Style6" xfId="44"/>
    <cellStyle name="Comma  - Style7" xfId="45"/>
    <cellStyle name="Comma  - Style8" xfId="46"/>
    <cellStyle name="Comma [0]_A" xfId="47"/>
    <cellStyle name="Comma_A" xfId="48"/>
    <cellStyle name="Currency [0]_A" xfId="49"/>
    <cellStyle name="Currency_A" xfId="50"/>
    <cellStyle name="Dane wejściowe" xfId="51"/>
    <cellStyle name="Dane wyjściowe" xfId="52"/>
    <cellStyle name="Dobry" xfId="53"/>
    <cellStyle name="Comma" xfId="54"/>
    <cellStyle name="Comma [0]" xfId="55"/>
    <cellStyle name="Hyperlink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ny" xfId="64"/>
    <cellStyle name="Normal - Style1" xfId="65"/>
    <cellStyle name="Normal_A" xfId="66"/>
    <cellStyle name="Normalny_Arkusz1 (3)" xfId="67"/>
    <cellStyle name="Obliczenia" xfId="68"/>
    <cellStyle name="Followed Hyperlink" xfId="69"/>
    <cellStyle name="Percent" xfId="70"/>
    <cellStyle name="Suma" xfId="71"/>
    <cellStyle name="tabele1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y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TOO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28"/>
      <sheetName val="1030"/>
      <sheetName val="1031"/>
      <sheetName val="1032"/>
      <sheetName val="1033"/>
      <sheetName val="1035"/>
      <sheetName val="1036"/>
      <sheetName val="1040"/>
      <sheetName val="1041"/>
      <sheetName val="1042"/>
      <sheetName val="1043"/>
      <sheetName val="1051"/>
      <sheetName val="1053"/>
      <sheetName val="1055"/>
      <sheetName val="1060"/>
      <sheetName val="1061"/>
      <sheetName val="1069"/>
      <sheetName val="1082"/>
      <sheetName val="2052"/>
      <sheetName val="2070"/>
      <sheetName val="308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1:C199"/>
  <sheetViews>
    <sheetView tabSelected="1" zoomScale="115" zoomScaleNormal="115" zoomScalePageLayoutView="0" workbookViewId="0" topLeftCell="B1">
      <selection activeCell="B1" sqref="B1"/>
    </sheetView>
  </sheetViews>
  <sheetFormatPr defaultColWidth="9.875" defaultRowHeight="12.75"/>
  <cols>
    <col min="1" max="1" width="4.625" style="53" customWidth="1"/>
    <col min="2" max="2" width="10.875" style="52" customWidth="1"/>
    <col min="3" max="3" width="105.625" style="30" customWidth="1"/>
    <col min="4" max="4" width="13.50390625" style="53" customWidth="1"/>
    <col min="5" max="85" width="9.875" style="53" customWidth="1"/>
    <col min="86" max="16384" width="9.875" style="30" customWidth="1"/>
  </cols>
  <sheetData>
    <row r="1" spans="2:3" s="53" customFormat="1" ht="31.5" customHeight="1">
      <c r="B1" s="61" t="s">
        <v>1749</v>
      </c>
      <c r="C1" s="55" t="s">
        <v>1865</v>
      </c>
    </row>
    <row r="2" spans="2:3" s="53" customFormat="1" ht="36" customHeight="1">
      <c r="B2" s="61" t="s">
        <v>2611</v>
      </c>
      <c r="C2" s="62" t="s">
        <v>2614</v>
      </c>
    </row>
    <row r="3" spans="2:3" s="53" customFormat="1" ht="36" customHeight="1">
      <c r="B3" s="61" t="s">
        <v>2612</v>
      </c>
      <c r="C3" s="62" t="s">
        <v>2613</v>
      </c>
    </row>
    <row r="4" spans="2:3" ht="42" customHeight="1">
      <c r="B4" s="61" t="s">
        <v>2647</v>
      </c>
      <c r="C4" s="57" t="s">
        <v>2648</v>
      </c>
    </row>
    <row r="5" spans="2:3" ht="42" customHeight="1">
      <c r="B5" s="56" t="s">
        <v>1665</v>
      </c>
      <c r="C5" s="57" t="s">
        <v>1682</v>
      </c>
    </row>
    <row r="6" spans="2:3" ht="42" customHeight="1">
      <c r="B6" s="56" t="s">
        <v>1666</v>
      </c>
      <c r="C6" s="57" t="s">
        <v>1680</v>
      </c>
    </row>
    <row r="7" spans="2:3" ht="42" customHeight="1">
      <c r="B7" s="56" t="s">
        <v>1667</v>
      </c>
      <c r="C7" s="57" t="s">
        <v>1677</v>
      </c>
    </row>
    <row r="8" spans="2:3" ht="42" customHeight="1">
      <c r="B8" s="56" t="s">
        <v>1668</v>
      </c>
      <c r="C8" s="57" t="s">
        <v>2615</v>
      </c>
    </row>
    <row r="9" spans="2:3" ht="42" customHeight="1">
      <c r="B9" s="56" t="s">
        <v>1673</v>
      </c>
      <c r="C9" s="57" t="s">
        <v>1679</v>
      </c>
    </row>
    <row r="10" spans="2:3" s="53" customFormat="1" ht="36" customHeight="1">
      <c r="B10" s="61" t="s">
        <v>1863</v>
      </c>
      <c r="C10" s="57" t="s">
        <v>2508</v>
      </c>
    </row>
    <row r="11" spans="2:3" ht="42" customHeight="1">
      <c r="B11" s="56" t="s">
        <v>1669</v>
      </c>
      <c r="C11" s="57" t="s">
        <v>1678</v>
      </c>
    </row>
    <row r="12" spans="2:3" ht="42" customHeight="1">
      <c r="B12" s="56" t="s">
        <v>1670</v>
      </c>
      <c r="C12" s="57" t="s">
        <v>1683</v>
      </c>
    </row>
    <row r="13" spans="2:3" ht="42" customHeight="1">
      <c r="B13" s="61" t="s">
        <v>1663</v>
      </c>
      <c r="C13" s="62" t="s">
        <v>1864</v>
      </c>
    </row>
    <row r="14" spans="2:3" ht="42" customHeight="1">
      <c r="B14" s="56" t="s">
        <v>1664</v>
      </c>
      <c r="C14" s="57" t="s">
        <v>1681</v>
      </c>
    </row>
    <row r="15" spans="2:3" ht="42" customHeight="1">
      <c r="B15" s="56" t="s">
        <v>1671</v>
      </c>
      <c r="C15" s="57" t="s">
        <v>1685</v>
      </c>
    </row>
    <row r="16" spans="2:3" ht="42" customHeight="1" thickBot="1">
      <c r="B16" s="58" t="s">
        <v>1672</v>
      </c>
      <c r="C16" s="59" t="s">
        <v>1684</v>
      </c>
    </row>
    <row r="17" s="53" customFormat="1" ht="12.75">
      <c r="B17" s="54"/>
    </row>
    <row r="18" s="53" customFormat="1" ht="12.75">
      <c r="B18" s="54"/>
    </row>
    <row r="19" s="53" customFormat="1" ht="12.75">
      <c r="B19" s="54"/>
    </row>
    <row r="20" s="53" customFormat="1" ht="12.75">
      <c r="B20" s="54"/>
    </row>
    <row r="21" s="53" customFormat="1" ht="12.75">
      <c r="B21" s="54"/>
    </row>
    <row r="22" s="53" customFormat="1" ht="12.75">
      <c r="B22" s="54"/>
    </row>
    <row r="23" s="53" customFormat="1" ht="12.75">
      <c r="B23" s="54"/>
    </row>
    <row r="24" s="53" customFormat="1" ht="12.75">
      <c r="B24" s="54"/>
    </row>
    <row r="25" s="53" customFormat="1" ht="12.75">
      <c r="B25" s="54"/>
    </row>
    <row r="26" s="53" customFormat="1" ht="12.75">
      <c r="B26" s="54"/>
    </row>
    <row r="27" s="53" customFormat="1" ht="12.75">
      <c r="B27" s="54"/>
    </row>
    <row r="28" s="53" customFormat="1" ht="12.75">
      <c r="B28" s="54"/>
    </row>
    <row r="29" s="53" customFormat="1" ht="12.75">
      <c r="B29" s="54"/>
    </row>
    <row r="30" s="53" customFormat="1" ht="12.75">
      <c r="B30" s="54"/>
    </row>
    <row r="31" s="53" customFormat="1" ht="12.75">
      <c r="B31" s="54"/>
    </row>
    <row r="32" s="53" customFormat="1" ht="12.75">
      <c r="B32" s="54"/>
    </row>
    <row r="33" s="53" customFormat="1" ht="12.75">
      <c r="B33" s="54"/>
    </row>
    <row r="34" s="53" customFormat="1" ht="12.75">
      <c r="B34" s="54"/>
    </row>
    <row r="35" s="53" customFormat="1" ht="12.75">
      <c r="B35" s="54"/>
    </row>
    <row r="36" s="53" customFormat="1" ht="12.75">
      <c r="B36" s="54"/>
    </row>
    <row r="37" s="53" customFormat="1" ht="12.75">
      <c r="B37" s="54"/>
    </row>
    <row r="38" s="53" customFormat="1" ht="12.75">
      <c r="B38" s="54"/>
    </row>
    <row r="39" s="53" customFormat="1" ht="12.75">
      <c r="B39" s="54"/>
    </row>
    <row r="40" s="53" customFormat="1" ht="12.75">
      <c r="B40" s="54"/>
    </row>
    <row r="41" s="53" customFormat="1" ht="12.75">
      <c r="B41" s="54"/>
    </row>
    <row r="42" s="53" customFormat="1" ht="12.75">
      <c r="B42" s="54"/>
    </row>
    <row r="43" s="53" customFormat="1" ht="12.75">
      <c r="B43" s="54"/>
    </row>
    <row r="44" s="53" customFormat="1" ht="12.75">
      <c r="B44" s="54"/>
    </row>
    <row r="45" s="53" customFormat="1" ht="12.75">
      <c r="B45" s="54"/>
    </row>
    <row r="46" s="53" customFormat="1" ht="12.75">
      <c r="B46" s="54"/>
    </row>
    <row r="47" s="53" customFormat="1" ht="12.75">
      <c r="B47" s="54"/>
    </row>
    <row r="48" s="53" customFormat="1" ht="12.75">
      <c r="B48" s="54"/>
    </row>
    <row r="49" s="53" customFormat="1" ht="12.75">
      <c r="B49" s="54"/>
    </row>
    <row r="50" s="53" customFormat="1" ht="12.75">
      <c r="B50" s="54"/>
    </row>
    <row r="51" s="53" customFormat="1" ht="12.75">
      <c r="B51" s="54"/>
    </row>
    <row r="52" s="53" customFormat="1" ht="12.75">
      <c r="B52" s="54"/>
    </row>
    <row r="53" s="53" customFormat="1" ht="12.75">
      <c r="B53" s="54"/>
    </row>
    <row r="54" s="53" customFormat="1" ht="12.75">
      <c r="B54" s="54"/>
    </row>
    <row r="55" s="53" customFormat="1" ht="12.75">
      <c r="B55" s="54"/>
    </row>
    <row r="56" s="53" customFormat="1" ht="12.75">
      <c r="B56" s="54"/>
    </row>
    <row r="57" s="53" customFormat="1" ht="12.75">
      <c r="B57" s="54"/>
    </row>
    <row r="58" s="53" customFormat="1" ht="12.75">
      <c r="B58" s="54"/>
    </row>
    <row r="59" s="53" customFormat="1" ht="12.75">
      <c r="B59" s="54"/>
    </row>
    <row r="60" s="53" customFormat="1" ht="12.75">
      <c r="B60" s="54"/>
    </row>
    <row r="61" s="53" customFormat="1" ht="12.75">
      <c r="B61" s="54"/>
    </row>
    <row r="62" s="53" customFormat="1" ht="12.75">
      <c r="B62" s="54"/>
    </row>
    <row r="63" s="53" customFormat="1" ht="12.75">
      <c r="B63" s="54"/>
    </row>
    <row r="64" s="53" customFormat="1" ht="12.75">
      <c r="B64" s="54"/>
    </row>
    <row r="65" s="53" customFormat="1" ht="12.75">
      <c r="B65" s="54"/>
    </row>
    <row r="66" s="53" customFormat="1" ht="12.75">
      <c r="B66" s="54"/>
    </row>
    <row r="67" s="53" customFormat="1" ht="12.75">
      <c r="B67" s="54"/>
    </row>
    <row r="68" s="53" customFormat="1" ht="12.75">
      <c r="B68" s="54"/>
    </row>
    <row r="69" s="53" customFormat="1" ht="12.75">
      <c r="B69" s="54"/>
    </row>
    <row r="70" s="53" customFormat="1" ht="12.75">
      <c r="B70" s="54"/>
    </row>
    <row r="71" s="53" customFormat="1" ht="12.75">
      <c r="B71" s="54"/>
    </row>
    <row r="72" s="53" customFormat="1" ht="12.75">
      <c r="B72" s="54"/>
    </row>
    <row r="73" s="53" customFormat="1" ht="12.75">
      <c r="B73" s="54"/>
    </row>
    <row r="74" s="53" customFormat="1" ht="12.75">
      <c r="B74" s="54"/>
    </row>
    <row r="75" s="53" customFormat="1" ht="12.75">
      <c r="B75" s="54"/>
    </row>
    <row r="76" s="53" customFormat="1" ht="12.75">
      <c r="B76" s="54"/>
    </row>
    <row r="77" s="53" customFormat="1" ht="12.75">
      <c r="B77" s="54"/>
    </row>
    <row r="78" s="53" customFormat="1" ht="12.75">
      <c r="B78" s="54"/>
    </row>
    <row r="79" s="53" customFormat="1" ht="12.75">
      <c r="B79" s="54"/>
    </row>
    <row r="80" s="53" customFormat="1" ht="12.75">
      <c r="B80" s="54"/>
    </row>
    <row r="81" s="53" customFormat="1" ht="12.75">
      <c r="B81" s="54"/>
    </row>
    <row r="82" s="53" customFormat="1" ht="12.75">
      <c r="B82" s="54"/>
    </row>
    <row r="83" s="53" customFormat="1" ht="12.75">
      <c r="B83" s="54"/>
    </row>
    <row r="84" s="53" customFormat="1" ht="12.75">
      <c r="B84" s="54"/>
    </row>
    <row r="85" s="53" customFormat="1" ht="12.75">
      <c r="B85" s="54"/>
    </row>
    <row r="86" s="53" customFormat="1" ht="12.75">
      <c r="B86" s="54"/>
    </row>
    <row r="87" s="53" customFormat="1" ht="12.75">
      <c r="B87" s="54"/>
    </row>
    <row r="88" s="53" customFormat="1" ht="12.75">
      <c r="B88" s="54"/>
    </row>
    <row r="89" s="53" customFormat="1" ht="12.75">
      <c r="B89" s="54"/>
    </row>
    <row r="90" s="53" customFormat="1" ht="12.75">
      <c r="B90" s="54"/>
    </row>
    <row r="91" s="53" customFormat="1" ht="12.75">
      <c r="B91" s="54"/>
    </row>
    <row r="92" s="53" customFormat="1" ht="12.75">
      <c r="B92" s="54"/>
    </row>
    <row r="93" s="53" customFormat="1" ht="12.75">
      <c r="B93" s="54"/>
    </row>
    <row r="94" s="53" customFormat="1" ht="12.75">
      <c r="B94" s="54"/>
    </row>
    <row r="95" s="53" customFormat="1" ht="12.75">
      <c r="B95" s="54"/>
    </row>
    <row r="96" s="53" customFormat="1" ht="12.75">
      <c r="B96" s="54"/>
    </row>
    <row r="97" s="53" customFormat="1" ht="12.75">
      <c r="B97" s="54"/>
    </row>
    <row r="98" s="53" customFormat="1" ht="12.75">
      <c r="B98" s="54"/>
    </row>
    <row r="99" s="53" customFormat="1" ht="12.75">
      <c r="B99" s="54"/>
    </row>
    <row r="100" s="53" customFormat="1" ht="12.75">
      <c r="B100" s="54"/>
    </row>
    <row r="101" s="53" customFormat="1" ht="12.75">
      <c r="B101" s="54"/>
    </row>
    <row r="102" s="53" customFormat="1" ht="12.75">
      <c r="B102" s="54"/>
    </row>
    <row r="103" s="53" customFormat="1" ht="12.75">
      <c r="B103" s="54"/>
    </row>
    <row r="104" s="53" customFormat="1" ht="12.75">
      <c r="B104" s="54"/>
    </row>
    <row r="105" s="53" customFormat="1" ht="12.75">
      <c r="B105" s="54"/>
    </row>
    <row r="106" s="53" customFormat="1" ht="12.75">
      <c r="B106" s="54"/>
    </row>
    <row r="107" s="53" customFormat="1" ht="12.75">
      <c r="B107" s="54"/>
    </row>
    <row r="108" s="53" customFormat="1" ht="12.75">
      <c r="B108" s="54"/>
    </row>
    <row r="109" s="53" customFormat="1" ht="12.75">
      <c r="B109" s="54"/>
    </row>
    <row r="110" s="53" customFormat="1" ht="12.75">
      <c r="B110" s="54"/>
    </row>
    <row r="111" s="53" customFormat="1" ht="12.75">
      <c r="B111" s="54"/>
    </row>
    <row r="112" s="53" customFormat="1" ht="12.75">
      <c r="B112" s="54"/>
    </row>
    <row r="113" s="53" customFormat="1" ht="12.75">
      <c r="B113" s="54"/>
    </row>
    <row r="114" s="53" customFormat="1" ht="12.75">
      <c r="B114" s="54"/>
    </row>
    <row r="115" s="53" customFormat="1" ht="12.75">
      <c r="B115" s="54"/>
    </row>
    <row r="116" s="53" customFormat="1" ht="12.75">
      <c r="B116" s="54"/>
    </row>
    <row r="117" s="53" customFormat="1" ht="12.75">
      <c r="B117" s="54"/>
    </row>
    <row r="118" s="53" customFormat="1" ht="12.75">
      <c r="B118" s="54"/>
    </row>
    <row r="119" s="53" customFormat="1" ht="12.75">
      <c r="B119" s="54"/>
    </row>
    <row r="120" s="53" customFormat="1" ht="12.75">
      <c r="B120" s="54"/>
    </row>
    <row r="121" s="53" customFormat="1" ht="12.75">
      <c r="B121" s="54"/>
    </row>
    <row r="122" s="53" customFormat="1" ht="12.75">
      <c r="B122" s="54"/>
    </row>
    <row r="123" s="53" customFormat="1" ht="12.75">
      <c r="B123" s="54"/>
    </row>
    <row r="124" s="53" customFormat="1" ht="12.75">
      <c r="B124" s="54"/>
    </row>
    <row r="125" s="53" customFormat="1" ht="12.75">
      <c r="B125" s="54"/>
    </row>
    <row r="126" s="53" customFormat="1" ht="12.75">
      <c r="B126" s="54"/>
    </row>
    <row r="127" s="53" customFormat="1" ht="12.75">
      <c r="B127" s="54"/>
    </row>
    <row r="128" s="53" customFormat="1" ht="12.75">
      <c r="B128" s="54"/>
    </row>
    <row r="129" s="53" customFormat="1" ht="12.75">
      <c r="B129" s="54"/>
    </row>
    <row r="130" s="53" customFormat="1" ht="12.75">
      <c r="B130" s="54"/>
    </row>
    <row r="131" s="53" customFormat="1" ht="12.75">
      <c r="B131" s="54"/>
    </row>
    <row r="132" s="53" customFormat="1" ht="12.75">
      <c r="B132" s="54"/>
    </row>
    <row r="133" s="53" customFormat="1" ht="12.75">
      <c r="B133" s="54"/>
    </row>
    <row r="134" s="53" customFormat="1" ht="12.75">
      <c r="B134" s="54"/>
    </row>
    <row r="135" s="53" customFormat="1" ht="12.75">
      <c r="B135" s="54"/>
    </row>
    <row r="136" s="53" customFormat="1" ht="12.75">
      <c r="B136" s="54"/>
    </row>
    <row r="137" s="53" customFormat="1" ht="12.75">
      <c r="B137" s="54"/>
    </row>
    <row r="138" s="53" customFormat="1" ht="12.75">
      <c r="B138" s="54"/>
    </row>
    <row r="139" s="53" customFormat="1" ht="12.75">
      <c r="B139" s="54"/>
    </row>
    <row r="140" s="53" customFormat="1" ht="12.75">
      <c r="B140" s="54"/>
    </row>
    <row r="141" s="53" customFormat="1" ht="12.75">
      <c r="B141" s="54"/>
    </row>
    <row r="142" s="53" customFormat="1" ht="12.75">
      <c r="B142" s="54"/>
    </row>
    <row r="143" s="53" customFormat="1" ht="12.75">
      <c r="B143" s="54"/>
    </row>
    <row r="144" s="53" customFormat="1" ht="12.75">
      <c r="B144" s="54"/>
    </row>
    <row r="145" s="53" customFormat="1" ht="12.75">
      <c r="B145" s="54"/>
    </row>
    <row r="146" s="53" customFormat="1" ht="12.75">
      <c r="B146" s="54"/>
    </row>
    <row r="147" s="53" customFormat="1" ht="12.75">
      <c r="B147" s="54"/>
    </row>
    <row r="148" s="53" customFormat="1" ht="12.75">
      <c r="B148" s="54"/>
    </row>
    <row r="149" s="53" customFormat="1" ht="12.75">
      <c r="B149" s="54"/>
    </row>
    <row r="150" s="53" customFormat="1" ht="12.75">
      <c r="B150" s="54"/>
    </row>
    <row r="151" s="53" customFormat="1" ht="12.75">
      <c r="B151" s="54"/>
    </row>
    <row r="152" s="53" customFormat="1" ht="12.75">
      <c r="B152" s="54"/>
    </row>
    <row r="153" s="53" customFormat="1" ht="12.75">
      <c r="B153" s="54"/>
    </row>
    <row r="154" s="53" customFormat="1" ht="12.75">
      <c r="B154" s="54"/>
    </row>
    <row r="155" s="53" customFormat="1" ht="12.75">
      <c r="B155" s="54"/>
    </row>
    <row r="156" s="53" customFormat="1" ht="12.75">
      <c r="B156" s="54"/>
    </row>
    <row r="157" s="53" customFormat="1" ht="12.75">
      <c r="B157" s="54"/>
    </row>
    <row r="158" s="53" customFormat="1" ht="12.75">
      <c r="B158" s="54"/>
    </row>
    <row r="159" s="53" customFormat="1" ht="12.75">
      <c r="B159" s="54"/>
    </row>
    <row r="160" s="53" customFormat="1" ht="12.75">
      <c r="B160" s="54"/>
    </row>
    <row r="161" s="53" customFormat="1" ht="12.75">
      <c r="B161" s="54"/>
    </row>
    <row r="162" s="53" customFormat="1" ht="12.75">
      <c r="B162" s="54"/>
    </row>
    <row r="163" s="53" customFormat="1" ht="12.75">
      <c r="B163" s="54"/>
    </row>
    <row r="164" s="53" customFormat="1" ht="12.75">
      <c r="B164" s="54"/>
    </row>
    <row r="165" s="53" customFormat="1" ht="12.75">
      <c r="B165" s="54"/>
    </row>
    <row r="166" s="53" customFormat="1" ht="12.75">
      <c r="B166" s="54"/>
    </row>
    <row r="167" s="53" customFormat="1" ht="12.75">
      <c r="B167" s="54"/>
    </row>
    <row r="168" s="53" customFormat="1" ht="12.75">
      <c r="B168" s="54"/>
    </row>
    <row r="169" s="53" customFormat="1" ht="12.75">
      <c r="B169" s="54"/>
    </row>
    <row r="170" s="53" customFormat="1" ht="12.75">
      <c r="B170" s="54"/>
    </row>
    <row r="171" s="53" customFormat="1" ht="12.75">
      <c r="B171" s="54"/>
    </row>
    <row r="172" s="53" customFormat="1" ht="12.75">
      <c r="B172" s="54"/>
    </row>
    <row r="173" s="53" customFormat="1" ht="12.75">
      <c r="B173" s="54"/>
    </row>
    <row r="174" s="53" customFormat="1" ht="12.75">
      <c r="B174" s="54"/>
    </row>
    <row r="175" s="53" customFormat="1" ht="12.75">
      <c r="B175" s="54"/>
    </row>
    <row r="176" s="53" customFormat="1" ht="12.75">
      <c r="B176" s="54"/>
    </row>
    <row r="177" s="53" customFormat="1" ht="12.75">
      <c r="B177" s="54"/>
    </row>
    <row r="178" s="53" customFormat="1" ht="12.75">
      <c r="B178" s="54"/>
    </row>
    <row r="179" s="53" customFormat="1" ht="12.75">
      <c r="B179" s="54"/>
    </row>
    <row r="180" s="53" customFormat="1" ht="12.75">
      <c r="B180" s="54"/>
    </row>
    <row r="181" s="53" customFormat="1" ht="12.75">
      <c r="B181" s="54"/>
    </row>
    <row r="182" s="53" customFormat="1" ht="12.75">
      <c r="B182" s="54"/>
    </row>
    <row r="183" s="53" customFormat="1" ht="12.75">
      <c r="B183" s="54"/>
    </row>
    <row r="184" s="53" customFormat="1" ht="12.75">
      <c r="B184" s="54"/>
    </row>
    <row r="185" s="53" customFormat="1" ht="12.75">
      <c r="B185" s="54"/>
    </row>
    <row r="186" s="53" customFormat="1" ht="12.75">
      <c r="B186" s="54"/>
    </row>
    <row r="187" s="53" customFormat="1" ht="12.75">
      <c r="B187" s="54"/>
    </row>
    <row r="188" s="53" customFormat="1" ht="12.75">
      <c r="B188" s="54"/>
    </row>
    <row r="189" s="53" customFormat="1" ht="12.75">
      <c r="B189" s="54"/>
    </row>
    <row r="190" s="53" customFormat="1" ht="12.75">
      <c r="B190" s="54"/>
    </row>
    <row r="191" s="53" customFormat="1" ht="12.75">
      <c r="B191" s="54"/>
    </row>
    <row r="192" s="53" customFormat="1" ht="12.75">
      <c r="B192" s="54"/>
    </row>
    <row r="193" s="53" customFormat="1" ht="12.75">
      <c r="B193" s="54"/>
    </row>
    <row r="194" s="53" customFormat="1" ht="12.75">
      <c r="B194" s="54"/>
    </row>
    <row r="195" s="53" customFormat="1" ht="12.75">
      <c r="B195" s="54"/>
    </row>
    <row r="196" s="53" customFormat="1" ht="12.75">
      <c r="B196" s="54"/>
    </row>
    <row r="197" s="53" customFormat="1" ht="12.75">
      <c r="B197" s="54"/>
    </row>
    <row r="198" s="53" customFormat="1" ht="12.75">
      <c r="B198" s="54"/>
    </row>
    <row r="199" s="53" customFormat="1" ht="12.75">
      <c r="B199" s="54"/>
    </row>
  </sheetData>
  <sheetProtection/>
  <hyperlinks>
    <hyperlink ref="B13" location="DOS!A1" display="DOS!A1"/>
    <hyperlink ref="B4" location="TOS!A1" tooltip="TOS" display="TOS"/>
    <hyperlink ref="B5" location="COI!A1" display="COI"/>
    <hyperlink ref="B6" location="EDO!A1" display="EDO"/>
    <hyperlink ref="B7" location="ROS!A1" display="ROS"/>
    <hyperlink ref="B8" location="ROD!A1" display="ROD"/>
    <hyperlink ref="B11" location="IR!A1" display="IR"/>
    <hyperlink ref="B12" location="RS!A1" display="RS"/>
    <hyperlink ref="B15" location="TZ!A1" display="TZ"/>
    <hyperlink ref="B16" location="SP!A1" display="SP"/>
    <hyperlink ref="B9" location="KOS!A1" display="KOS"/>
    <hyperlink ref="B1" location="OTS!A1" display="OTS"/>
    <hyperlink ref="B10" location="POS!A1" display="POS"/>
    <hyperlink ref="B2" location="ROR!A1" display="ROR"/>
    <hyperlink ref="B3" location="DOR!A1" display="DOR"/>
    <hyperlink ref="B14" location="TOZ!A1" display="TOZ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5"/>
  <dimension ref="A1:J5"/>
  <sheetViews>
    <sheetView zoomScale="115" zoomScaleNormal="115" zoomScalePageLayoutView="0" workbookViewId="0" topLeftCell="A1">
      <pane xSplit="1" ySplit="1" topLeftCell="B2" activePane="bottomRight" state="frozen"/>
      <selection pane="topLeft" activeCell="A220" sqref="A220"/>
      <selection pane="topRight" activeCell="A220" sqref="A220"/>
      <selection pane="bottomLeft" activeCell="A220" sqref="A220"/>
      <selection pane="bottomRight" activeCell="H1" sqref="H1"/>
    </sheetView>
  </sheetViews>
  <sheetFormatPr defaultColWidth="0" defaultRowHeight="12.75"/>
  <cols>
    <col min="1" max="1" width="10.50390625" style="13" bestFit="1" customWidth="1"/>
    <col min="2" max="2" width="15.875" style="13" bestFit="1" customWidth="1"/>
    <col min="3" max="3" width="33.625" style="13" bestFit="1" customWidth="1"/>
    <col min="4" max="4" width="12.625" style="13" customWidth="1"/>
    <col min="5" max="5" width="13.625" style="13" customWidth="1"/>
    <col min="6" max="6" width="12.00390625" style="13" customWidth="1"/>
    <col min="7" max="7" width="10.375" style="13" bestFit="1" customWidth="1"/>
    <col min="8" max="8" width="11.50390625" style="18" bestFit="1" customWidth="1"/>
    <col min="9" max="9" width="10.875" style="18" customWidth="1"/>
    <col min="10" max="10" width="60.875" style="13" bestFit="1" customWidth="1"/>
    <col min="11" max="255" width="9.375" style="0" hidden="1" customWidth="1"/>
    <col min="256" max="16384" width="5.125" style="0" hidden="1" customWidth="1"/>
  </cols>
  <sheetData>
    <row r="1" spans="1:10" ht="40.5" customHeight="1" thickBot="1">
      <c r="A1" s="131" t="str">
        <f>Seria</f>
        <v>Seria</v>
      </c>
      <c r="B1" s="132" t="str">
        <f>ISIN</f>
        <v>Kod ISIN</v>
      </c>
      <c r="C1" s="132" t="str">
        <f>Wykup</f>
        <v>Data wykupu</v>
      </c>
      <c r="D1" s="132" t="str">
        <f>PoczatekSprzedazy</f>
        <v>Początek sprzedaży</v>
      </c>
      <c r="E1" s="132" t="str">
        <f>KoniecSprzedazy</f>
        <v>Koniec sprzedaży</v>
      </c>
      <c r="F1" s="108" t="str">
        <f>CenaEmisyjna</f>
        <v>Cena emisyjna</v>
      </c>
      <c r="G1" s="108" t="str">
        <f>switch_price</f>
        <v>Cena zamiany</v>
      </c>
      <c r="H1" s="208" t="str">
        <f>Sprzedaz&amp;" (mln zł)"</f>
        <v>Sprzedaż łączna (mln zł)</v>
      </c>
      <c r="I1" s="132" t="str">
        <f>switch&amp;" (mln zł)"</f>
        <v>w tym zamiana (mln zł)</v>
      </c>
      <c r="J1" s="108" t="str">
        <f>Oprocentowanie</f>
        <v>Oprocentowanie</v>
      </c>
    </row>
    <row r="2" spans="1:10" s="25" customFormat="1" ht="12.75">
      <c r="A2" s="90" t="s">
        <v>1286</v>
      </c>
      <c r="B2" s="91" t="s">
        <v>1288</v>
      </c>
      <c r="C2" s="146" t="str">
        <f>"13 "&amp;wykupKOS</f>
        <v>13  miesięcy od dnia zakupu</v>
      </c>
      <c r="D2" s="111">
        <v>41579</v>
      </c>
      <c r="E2" s="111">
        <f>_XLL.NR.SER.OST.DN.MIES(D2,0)</f>
        <v>41608</v>
      </c>
      <c r="F2" s="112">
        <v>100</v>
      </c>
      <c r="G2" s="121" t="s">
        <v>8</v>
      </c>
      <c r="H2" s="209">
        <v>874.254</v>
      </c>
      <c r="I2" s="121" t="s">
        <v>8</v>
      </c>
      <c r="J2" s="210" t="s">
        <v>1290</v>
      </c>
    </row>
    <row r="3" spans="1:10" s="27" customFormat="1" ht="12.75">
      <c r="A3" s="113" t="s">
        <v>1287</v>
      </c>
      <c r="B3" s="114" t="s">
        <v>1289</v>
      </c>
      <c r="C3" s="151" t="str">
        <f>"7 "&amp;wykupKOS</f>
        <v>7  miesięcy od dnia zakupu</v>
      </c>
      <c r="D3" s="115">
        <v>41671</v>
      </c>
      <c r="E3" s="115">
        <f>_XLL.NR.SER.OST.DN.MIES(D3,0)</f>
        <v>41698</v>
      </c>
      <c r="F3" s="116">
        <v>100</v>
      </c>
      <c r="G3" s="117" t="s">
        <v>8</v>
      </c>
      <c r="H3" s="211">
        <v>282.1566</v>
      </c>
      <c r="I3" s="117" t="s">
        <v>8</v>
      </c>
      <c r="J3" s="212" t="s">
        <v>1291</v>
      </c>
    </row>
    <row r="4" spans="1:10" ht="12.75" customHeight="1">
      <c r="A4" s="90" t="s">
        <v>1387</v>
      </c>
      <c r="B4" s="91" t="s">
        <v>1388</v>
      </c>
      <c r="C4" s="146" t="str">
        <f>"14 "&amp;wykupKOS</f>
        <v>14  miesięcy od dnia zakupu</v>
      </c>
      <c r="D4" s="111">
        <v>41974</v>
      </c>
      <c r="E4" s="111">
        <f>_XLL.NR.SER.OST.DN.MIES(D4,0)</f>
        <v>42004</v>
      </c>
      <c r="F4" s="112">
        <v>100</v>
      </c>
      <c r="G4" s="121">
        <v>99.9</v>
      </c>
      <c r="H4" s="209">
        <v>486.7104</v>
      </c>
      <c r="I4" s="121">
        <v>273.6824</v>
      </c>
      <c r="J4" s="213" t="s">
        <v>1389</v>
      </c>
    </row>
    <row r="5" spans="1:10" s="26" customFormat="1" ht="12.75" customHeight="1">
      <c r="A5" s="79" t="s">
        <v>1460</v>
      </c>
      <c r="B5" s="80" t="s">
        <v>1462</v>
      </c>
      <c r="C5" s="146" t="str">
        <f>"11 "&amp;wykupKOS</f>
        <v>11  miesięcy od dnia zakupu</v>
      </c>
      <c r="D5" s="83">
        <v>42309</v>
      </c>
      <c r="E5" s="83">
        <f>_XLL.NR.SER.OST.DN.MIES(D5,0)</f>
        <v>42338</v>
      </c>
      <c r="F5" s="214">
        <v>100</v>
      </c>
      <c r="G5" s="215">
        <v>99.9</v>
      </c>
      <c r="H5" s="216">
        <v>879.1628</v>
      </c>
      <c r="I5" s="215">
        <v>21.4451</v>
      </c>
      <c r="J5" s="217" t="s">
        <v>1461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3"/>
  <dimension ref="A1:K6"/>
  <sheetViews>
    <sheetView zoomScale="115" zoomScaleNormal="11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1" sqref="H1"/>
    </sheetView>
  </sheetViews>
  <sheetFormatPr defaultColWidth="0" defaultRowHeight="12.75"/>
  <cols>
    <col min="1" max="1" width="10.875" style="13" customWidth="1"/>
    <col min="2" max="2" width="16.50390625" style="13" customWidth="1"/>
    <col min="3" max="3" width="30.875" style="13" customWidth="1"/>
    <col min="4" max="4" width="17.625" style="13" customWidth="1"/>
    <col min="5" max="5" width="11.875" style="13" customWidth="1"/>
    <col min="6" max="6" width="12.50390625" style="13" customWidth="1"/>
    <col min="7" max="7" width="18.00390625" style="13" customWidth="1"/>
    <col min="8" max="8" width="11.50390625" style="18" customWidth="1"/>
    <col min="9" max="9" width="15.875" style="18" customWidth="1"/>
    <col min="10" max="11" width="24.50390625" style="13" customWidth="1"/>
    <col min="12" max="16384" width="9.375" style="0" hidden="1" customWidth="1"/>
  </cols>
  <sheetData>
    <row r="1" spans="1:11" ht="40.5" customHeight="1" thickBot="1">
      <c r="A1" s="131" t="str">
        <f>Seria</f>
        <v>Seria</v>
      </c>
      <c r="B1" s="132" t="str">
        <f>ISIN</f>
        <v>Kod ISIN</v>
      </c>
      <c r="C1" s="132" t="str">
        <f>Wykup</f>
        <v>Data wykupu</v>
      </c>
      <c r="D1" s="132" t="str">
        <f>PoczatekSprzedazy</f>
        <v>Początek sprzedaży</v>
      </c>
      <c r="E1" s="132" t="str">
        <f>KoniecSprzedazy</f>
        <v>Koniec sprzedaży</v>
      </c>
      <c r="F1" s="108" t="str">
        <f>CenaEmisyjna</f>
        <v>Cena emisyjna</v>
      </c>
      <c r="G1" s="108" t="str">
        <f>switch_price</f>
        <v>Cena zamiany</v>
      </c>
      <c r="H1" s="132" t="str">
        <f>Sprzedaz&amp;"
(mln zł)"</f>
        <v>Sprzedaż łączna
(mln zł)</v>
      </c>
      <c r="I1" s="132" t="str">
        <f>switch&amp;" (mln zł)"</f>
        <v>w tym zamiana (mln zł)</v>
      </c>
      <c r="J1" s="108" t="str">
        <f>Oprocentowanie</f>
        <v>Oprocentowanie</v>
      </c>
      <c r="K1" s="108" t="str">
        <f>Odsetki&amp;" (zł)"</f>
        <v>Odsetki (zł)</v>
      </c>
    </row>
    <row r="2" spans="1:11" s="7" customFormat="1" ht="12.75">
      <c r="A2" s="90" t="s">
        <v>1862</v>
      </c>
      <c r="B2" s="91" t="s">
        <v>1868</v>
      </c>
      <c r="C2" s="92" t="str">
        <f>"10"&amp;wykupKOS</f>
        <v>10 miesięcy od dnia zakupu</v>
      </c>
      <c r="D2" s="92">
        <v>43252</v>
      </c>
      <c r="E2" s="92">
        <v>43281</v>
      </c>
      <c r="F2" s="93">
        <v>100</v>
      </c>
      <c r="G2" s="135">
        <v>99.9</v>
      </c>
      <c r="H2" s="94">
        <v>371.1321</v>
      </c>
      <c r="I2" s="94">
        <v>18.7519</v>
      </c>
      <c r="J2" s="65">
        <v>0.015</v>
      </c>
      <c r="K2" s="135">
        <v>1.25</v>
      </c>
    </row>
    <row r="3" spans="1:11" s="7" customFormat="1" ht="12.75">
      <c r="A3" s="90" t="s">
        <v>2046</v>
      </c>
      <c r="B3" s="91" t="s">
        <v>2059</v>
      </c>
      <c r="C3" s="92" t="str">
        <f>"10"&amp;wykupKOS</f>
        <v>10 miesięcy od dnia zakupu</v>
      </c>
      <c r="D3" s="92">
        <v>43617</v>
      </c>
      <c r="E3" s="92">
        <v>43646</v>
      </c>
      <c r="F3" s="93">
        <v>100</v>
      </c>
      <c r="G3" s="135">
        <v>99.9</v>
      </c>
      <c r="H3" s="94">
        <v>569.673</v>
      </c>
      <c r="I3" s="94">
        <v>29.8992</v>
      </c>
      <c r="J3" s="65">
        <v>0.015</v>
      </c>
      <c r="K3" s="135">
        <v>1.25</v>
      </c>
    </row>
    <row r="4" spans="1:11" s="7" customFormat="1" ht="12.75">
      <c r="A4" s="90" t="s">
        <v>2511</v>
      </c>
      <c r="B4" s="91" t="s">
        <v>2512</v>
      </c>
      <c r="C4" s="92" t="str">
        <f>"12"&amp;wykupKOS</f>
        <v>12 miesięcy od dnia zakupu</v>
      </c>
      <c r="D4" s="92">
        <v>44621</v>
      </c>
      <c r="E4" s="92">
        <v>44651</v>
      </c>
      <c r="F4" s="93">
        <v>100</v>
      </c>
      <c r="G4" s="135" t="s">
        <v>8</v>
      </c>
      <c r="H4" s="94">
        <v>428.0259</v>
      </c>
      <c r="I4" s="105" t="s">
        <v>8</v>
      </c>
      <c r="J4" s="65">
        <v>0.015</v>
      </c>
      <c r="K4" s="135">
        <v>1.5</v>
      </c>
    </row>
    <row r="6" ht="12.75">
      <c r="D6" s="7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6"/>
  <dimension ref="A1:S68"/>
  <sheetViews>
    <sheetView zoomScale="115" zoomScaleNormal="11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" sqref="J2"/>
    </sheetView>
  </sheetViews>
  <sheetFormatPr defaultColWidth="0" defaultRowHeight="12.75"/>
  <cols>
    <col min="1" max="1" width="8.625" style="11" bestFit="1" customWidth="1"/>
    <col min="2" max="2" width="15.875" style="11" bestFit="1" customWidth="1"/>
    <col min="3" max="3" width="15.00390625" style="6" bestFit="1" customWidth="1"/>
    <col min="4" max="4" width="16.375" style="6" customWidth="1"/>
    <col min="5" max="5" width="11.875" style="6" customWidth="1"/>
    <col min="6" max="6" width="14.50390625" style="21" customWidth="1"/>
    <col min="7" max="7" width="14.00390625" style="6" bestFit="1" customWidth="1"/>
    <col min="8" max="8" width="14.00390625" style="6" customWidth="1"/>
    <col min="9" max="9" width="13.00390625" style="6" bestFit="1" customWidth="1"/>
    <col min="10" max="10" width="11.50390625" style="21" bestFit="1" customWidth="1"/>
    <col min="11" max="11" width="14.625" style="6" bestFit="1" customWidth="1"/>
    <col min="12" max="12" width="12.625" style="6" bestFit="1" customWidth="1"/>
    <col min="13" max="13" width="11.625" style="6" bestFit="1" customWidth="1"/>
    <col min="14" max="14" width="11.375" style="6" bestFit="1" customWidth="1"/>
    <col min="15" max="15" width="7.625" style="6" bestFit="1" customWidth="1"/>
    <col min="16" max="16" width="10.00390625" style="6" bestFit="1" customWidth="1"/>
    <col min="17" max="17" width="11.50390625" style="6" bestFit="1" customWidth="1"/>
    <col min="18" max="18" width="14.375" style="6" bestFit="1" customWidth="1"/>
    <col min="19" max="19" width="13.625" style="21" bestFit="1" customWidth="1"/>
    <col min="20" max="16384" width="9.375" style="0" hidden="1" customWidth="1"/>
  </cols>
  <sheetData>
    <row r="1" spans="1:19" s="15" customFormat="1" ht="13.5" thickBot="1">
      <c r="A1" s="364" t="str">
        <f>Seria</f>
        <v>Seria</v>
      </c>
      <c r="B1" s="364" t="str">
        <f>ISIN</f>
        <v>Kod ISIN</v>
      </c>
      <c r="C1" s="362" t="str">
        <f>Wykup</f>
        <v>Data wykupu</v>
      </c>
      <c r="D1" s="361" t="str">
        <f>Siec</f>
        <v>Sprzedaż w sieci</v>
      </c>
      <c r="E1" s="361"/>
      <c r="F1" s="361"/>
      <c r="G1" s="361" t="str">
        <f>subskrypcja2</f>
        <v>Subskrypcja</v>
      </c>
      <c r="H1" s="361"/>
      <c r="I1" s="361"/>
      <c r="J1" s="361"/>
      <c r="K1" s="361" t="str">
        <f>Przetarg</f>
        <v>Przetarg</v>
      </c>
      <c r="L1" s="361"/>
      <c r="M1" s="361"/>
      <c r="N1" s="361"/>
      <c r="O1" s="361"/>
      <c r="P1" s="361"/>
      <c r="Q1" s="361"/>
      <c r="R1" s="362" t="str">
        <f>Oprocentowanie</f>
        <v>Oprocentowanie</v>
      </c>
      <c r="S1" s="362" t="str">
        <f>Odsetki&amp;" (zł)"</f>
        <v>Odsetki (zł)</v>
      </c>
    </row>
    <row r="2" spans="1:19" s="15" customFormat="1" ht="39" thickBot="1">
      <c r="A2" s="365"/>
      <c r="B2" s="365"/>
      <c r="C2" s="363"/>
      <c r="D2" s="108" t="str">
        <f>PoczatekSprzedazy</f>
        <v>Początek sprzedaży</v>
      </c>
      <c r="E2" s="108" t="str">
        <f>CenaEmisyjna</f>
        <v>Cena emisyjna</v>
      </c>
      <c r="F2" s="208" t="str">
        <f>Sprzedaz&amp;" (mln zł)"</f>
        <v>Sprzedaż łączna (mln zł)</v>
      </c>
      <c r="G2" s="208" t="str">
        <f>Poczatek&amp;Subskrypcja</f>
        <v>Począteksubskrypcji</v>
      </c>
      <c r="H2" s="208" t="str">
        <f>Koniec&amp;Subskrypcja</f>
        <v>Koniecsubskrypcji</v>
      </c>
      <c r="I2" s="108" t="str">
        <f>CenaSubskrypcyjna</f>
        <v>Cena subskrypcyjna</v>
      </c>
      <c r="J2" s="208" t="str">
        <f>Sprzedaz&amp;" (mln zł)"</f>
        <v>Sprzedaż łączna (mln zł)</v>
      </c>
      <c r="K2" s="219" t="str">
        <f>DataPrzetargu</f>
        <v>Data przetargu</v>
      </c>
      <c r="L2" s="219" t="str">
        <f>Zaplata</f>
        <v>Data zapłaty</v>
      </c>
      <c r="M2" s="220" t="str">
        <f>CenaMin</f>
        <v>Cena min.</v>
      </c>
      <c r="N2" s="220" t="str">
        <f>CenaSr</f>
        <v>Cena śr.</v>
      </c>
      <c r="O2" s="220" t="str">
        <f>Podaz</f>
        <v>Podaż</v>
      </c>
      <c r="P2" s="220" t="str">
        <f>Popyt</f>
        <v>Popyt</v>
      </c>
      <c r="Q2" s="208" t="str">
        <f>Sprzedaz&amp;" (mln zł)"</f>
        <v>Sprzedaż łączna (mln zł)</v>
      </c>
      <c r="R2" s="363"/>
      <c r="S2" s="363"/>
    </row>
    <row r="3" spans="1:19" ht="12.75">
      <c r="A3" s="85" t="s">
        <v>90</v>
      </c>
      <c r="B3" s="221" t="s">
        <v>182</v>
      </c>
      <c r="C3" s="109">
        <v>34121</v>
      </c>
      <c r="D3" s="109">
        <v>33756</v>
      </c>
      <c r="E3" s="110">
        <v>100</v>
      </c>
      <c r="F3" s="110">
        <v>164.9293</v>
      </c>
      <c r="G3" s="109" t="s">
        <v>8</v>
      </c>
      <c r="H3" s="109" t="s">
        <v>8</v>
      </c>
      <c r="I3" s="110" t="s">
        <v>8</v>
      </c>
      <c r="J3" s="222" t="s">
        <v>8</v>
      </c>
      <c r="K3" s="109">
        <v>33750</v>
      </c>
      <c r="L3" s="109">
        <v>33756</v>
      </c>
      <c r="M3" s="110">
        <v>98.4</v>
      </c>
      <c r="N3" s="110">
        <v>99.66</v>
      </c>
      <c r="O3" s="167">
        <v>50</v>
      </c>
      <c r="P3" s="167">
        <v>112</v>
      </c>
      <c r="Q3" s="223">
        <v>50</v>
      </c>
      <c r="R3" s="224">
        <v>0.472</v>
      </c>
      <c r="S3" s="167">
        <v>47.2</v>
      </c>
    </row>
    <row r="4" spans="1:19" ht="12.75">
      <c r="A4" s="85" t="s">
        <v>91</v>
      </c>
      <c r="B4" s="221" t="s">
        <v>183</v>
      </c>
      <c r="C4" s="109">
        <v>34214</v>
      </c>
      <c r="D4" s="109">
        <v>33848</v>
      </c>
      <c r="E4" s="110">
        <v>100</v>
      </c>
      <c r="F4" s="110">
        <v>46.9908</v>
      </c>
      <c r="G4" s="109" t="s">
        <v>8</v>
      </c>
      <c r="H4" s="109" t="s">
        <v>8</v>
      </c>
      <c r="I4" s="110" t="s">
        <v>8</v>
      </c>
      <c r="J4" s="222" t="s">
        <v>8</v>
      </c>
      <c r="K4" s="109">
        <v>33841</v>
      </c>
      <c r="L4" s="109">
        <v>33848</v>
      </c>
      <c r="M4" s="110">
        <v>99</v>
      </c>
      <c r="N4" s="110">
        <v>99.54</v>
      </c>
      <c r="O4" s="167">
        <v>100</v>
      </c>
      <c r="P4" s="167">
        <v>28</v>
      </c>
      <c r="Q4" s="167">
        <v>22</v>
      </c>
      <c r="R4" s="224">
        <v>0.4204</v>
      </c>
      <c r="S4" s="225">
        <v>42.04</v>
      </c>
    </row>
    <row r="5" spans="1:19" s="25" customFormat="1" ht="12.75">
      <c r="A5" s="90" t="s">
        <v>92</v>
      </c>
      <c r="B5" s="226" t="s">
        <v>184</v>
      </c>
      <c r="C5" s="111">
        <v>34305</v>
      </c>
      <c r="D5" s="111">
        <v>33939</v>
      </c>
      <c r="E5" s="112">
        <v>100</v>
      </c>
      <c r="F5" s="112">
        <v>165.5571</v>
      </c>
      <c r="G5" s="111" t="s">
        <v>8</v>
      </c>
      <c r="H5" s="111" t="s">
        <v>8</v>
      </c>
      <c r="I5" s="121" t="s">
        <v>8</v>
      </c>
      <c r="J5" s="227" t="s">
        <v>8</v>
      </c>
      <c r="K5" s="111">
        <v>33932</v>
      </c>
      <c r="L5" s="111">
        <v>33939</v>
      </c>
      <c r="M5" s="112">
        <v>97</v>
      </c>
      <c r="N5" s="112">
        <v>98.98</v>
      </c>
      <c r="O5" s="171">
        <v>100</v>
      </c>
      <c r="P5" s="171">
        <v>40</v>
      </c>
      <c r="Q5" s="171">
        <v>40</v>
      </c>
      <c r="R5" s="228">
        <v>0.3749</v>
      </c>
      <c r="S5" s="229">
        <v>37.49</v>
      </c>
    </row>
    <row r="6" spans="1:19" s="27" customFormat="1" ht="12.75">
      <c r="A6" s="113" t="s">
        <v>93</v>
      </c>
      <c r="B6" s="230" t="s">
        <v>185</v>
      </c>
      <c r="C6" s="115">
        <v>34395</v>
      </c>
      <c r="D6" s="115">
        <v>34029</v>
      </c>
      <c r="E6" s="116">
        <v>100</v>
      </c>
      <c r="F6" s="116">
        <v>188.2193</v>
      </c>
      <c r="G6" s="115" t="s">
        <v>8</v>
      </c>
      <c r="H6" s="115" t="s">
        <v>8</v>
      </c>
      <c r="I6" s="117" t="s">
        <v>8</v>
      </c>
      <c r="J6" s="231" t="s">
        <v>8</v>
      </c>
      <c r="K6" s="115">
        <v>34023</v>
      </c>
      <c r="L6" s="115">
        <v>34029</v>
      </c>
      <c r="M6" s="116">
        <v>98.75</v>
      </c>
      <c r="N6" s="116">
        <v>99.52</v>
      </c>
      <c r="O6" s="176">
        <v>80</v>
      </c>
      <c r="P6" s="176">
        <v>97</v>
      </c>
      <c r="Q6" s="176">
        <v>80</v>
      </c>
      <c r="R6" s="232">
        <v>0.4268</v>
      </c>
      <c r="S6" s="233">
        <v>42.68</v>
      </c>
    </row>
    <row r="7" spans="1:19" ht="12.75">
      <c r="A7" s="85" t="s">
        <v>94</v>
      </c>
      <c r="B7" s="221" t="s">
        <v>186</v>
      </c>
      <c r="C7" s="109">
        <v>34487</v>
      </c>
      <c r="D7" s="109">
        <v>34121</v>
      </c>
      <c r="E7" s="110">
        <v>100</v>
      </c>
      <c r="F7" s="110">
        <v>179.4809</v>
      </c>
      <c r="G7" s="109" t="s">
        <v>8</v>
      </c>
      <c r="H7" s="109" t="s">
        <v>8</v>
      </c>
      <c r="I7" s="110" t="s">
        <v>8</v>
      </c>
      <c r="J7" s="222" t="s">
        <v>8</v>
      </c>
      <c r="K7" s="109">
        <v>34114</v>
      </c>
      <c r="L7" s="109">
        <v>34121</v>
      </c>
      <c r="M7" s="110">
        <v>98.4</v>
      </c>
      <c r="N7" s="110">
        <v>99.33</v>
      </c>
      <c r="O7" s="167">
        <v>150</v>
      </c>
      <c r="P7" s="167">
        <v>147</v>
      </c>
      <c r="Q7" s="167">
        <v>141</v>
      </c>
      <c r="R7" s="224">
        <v>0.3665</v>
      </c>
      <c r="S7" s="225">
        <v>36.65</v>
      </c>
    </row>
    <row r="8" spans="1:19" ht="12.75">
      <c r="A8" s="85" t="s">
        <v>95</v>
      </c>
      <c r="B8" s="221" t="s">
        <v>187</v>
      </c>
      <c r="C8" s="109">
        <v>34579</v>
      </c>
      <c r="D8" s="109">
        <v>34213</v>
      </c>
      <c r="E8" s="110">
        <v>100</v>
      </c>
      <c r="F8" s="110">
        <v>120.4214</v>
      </c>
      <c r="G8" s="109" t="s">
        <v>8</v>
      </c>
      <c r="H8" s="109" t="s">
        <v>8</v>
      </c>
      <c r="I8" s="110" t="s">
        <v>8</v>
      </c>
      <c r="J8" s="222" t="s">
        <v>8</v>
      </c>
      <c r="K8" s="109">
        <v>34204</v>
      </c>
      <c r="L8" s="109">
        <v>34213</v>
      </c>
      <c r="M8" s="110">
        <v>97.4</v>
      </c>
      <c r="N8" s="110">
        <v>98.99</v>
      </c>
      <c r="O8" s="167">
        <v>150</v>
      </c>
      <c r="P8" s="167">
        <v>54</v>
      </c>
      <c r="Q8" s="167">
        <v>44</v>
      </c>
      <c r="R8" s="224">
        <v>0.3846</v>
      </c>
      <c r="S8" s="225">
        <v>38.46</v>
      </c>
    </row>
    <row r="9" spans="1:19" s="25" customFormat="1" ht="12.75">
      <c r="A9" s="90" t="s">
        <v>96</v>
      </c>
      <c r="B9" s="226" t="s">
        <v>188</v>
      </c>
      <c r="C9" s="111">
        <v>34670</v>
      </c>
      <c r="D9" s="111">
        <v>34304</v>
      </c>
      <c r="E9" s="112">
        <v>100</v>
      </c>
      <c r="F9" s="112">
        <v>345.7264</v>
      </c>
      <c r="G9" s="111" t="s">
        <v>8</v>
      </c>
      <c r="H9" s="111" t="s">
        <v>8</v>
      </c>
      <c r="I9" s="121" t="s">
        <v>8</v>
      </c>
      <c r="J9" s="227" t="s">
        <v>8</v>
      </c>
      <c r="K9" s="111">
        <v>34296</v>
      </c>
      <c r="L9" s="111">
        <v>34304</v>
      </c>
      <c r="M9" s="112">
        <v>97.4</v>
      </c>
      <c r="N9" s="112">
        <v>98.21</v>
      </c>
      <c r="O9" s="171">
        <v>150</v>
      </c>
      <c r="P9" s="171">
        <v>56</v>
      </c>
      <c r="Q9" s="171">
        <v>53</v>
      </c>
      <c r="R9" s="228">
        <v>0.408</v>
      </c>
      <c r="S9" s="229">
        <v>40.8</v>
      </c>
    </row>
    <row r="10" spans="1:19" s="27" customFormat="1" ht="12.75">
      <c r="A10" s="113" t="s">
        <v>97</v>
      </c>
      <c r="B10" s="230" t="s">
        <v>189</v>
      </c>
      <c r="C10" s="115">
        <v>34760</v>
      </c>
      <c r="D10" s="115">
        <v>34394</v>
      </c>
      <c r="E10" s="116">
        <v>100</v>
      </c>
      <c r="F10" s="116">
        <v>199.7619</v>
      </c>
      <c r="G10" s="115" t="s">
        <v>8</v>
      </c>
      <c r="H10" s="115" t="s">
        <v>8</v>
      </c>
      <c r="I10" s="117" t="s">
        <v>8</v>
      </c>
      <c r="J10" s="231" t="s">
        <v>8</v>
      </c>
      <c r="K10" s="115">
        <v>34387</v>
      </c>
      <c r="L10" s="115">
        <v>34394</v>
      </c>
      <c r="M10" s="116">
        <v>98</v>
      </c>
      <c r="N10" s="116">
        <v>98.7</v>
      </c>
      <c r="O10" s="176">
        <v>150</v>
      </c>
      <c r="P10" s="176">
        <v>255</v>
      </c>
      <c r="Q10" s="176">
        <v>150</v>
      </c>
      <c r="R10" s="232">
        <v>0.3453</v>
      </c>
      <c r="S10" s="233">
        <v>34.53</v>
      </c>
    </row>
    <row r="11" spans="1:19" ht="12.75">
      <c r="A11" s="85" t="s">
        <v>13</v>
      </c>
      <c r="B11" s="221" t="s">
        <v>190</v>
      </c>
      <c r="C11" s="109">
        <v>34852</v>
      </c>
      <c r="D11" s="109">
        <v>34486</v>
      </c>
      <c r="E11" s="110">
        <v>100</v>
      </c>
      <c r="F11" s="110">
        <v>454.5583</v>
      </c>
      <c r="G11" s="109" t="s">
        <v>8</v>
      </c>
      <c r="H11" s="109" t="s">
        <v>8</v>
      </c>
      <c r="I11" s="110" t="s">
        <v>8</v>
      </c>
      <c r="J11" s="222" t="s">
        <v>8</v>
      </c>
      <c r="K11" s="109">
        <v>34478</v>
      </c>
      <c r="L11" s="109">
        <v>34486</v>
      </c>
      <c r="M11" s="110">
        <v>99</v>
      </c>
      <c r="N11" s="110">
        <v>99.52</v>
      </c>
      <c r="O11" s="167">
        <v>200</v>
      </c>
      <c r="P11" s="167">
        <v>256.135</v>
      </c>
      <c r="Q11" s="167">
        <v>130.135</v>
      </c>
      <c r="R11" s="224">
        <v>0.3799</v>
      </c>
      <c r="S11" s="225">
        <v>37.99</v>
      </c>
    </row>
    <row r="12" spans="1:19" ht="12.75">
      <c r="A12" s="85" t="s">
        <v>14</v>
      </c>
      <c r="B12" s="221" t="s">
        <v>191</v>
      </c>
      <c r="C12" s="109">
        <v>34944</v>
      </c>
      <c r="D12" s="109">
        <v>34578</v>
      </c>
      <c r="E12" s="110">
        <v>100</v>
      </c>
      <c r="F12" s="110">
        <v>315.3067</v>
      </c>
      <c r="G12" s="109" t="s">
        <v>8</v>
      </c>
      <c r="H12" s="109" t="s">
        <v>8</v>
      </c>
      <c r="I12" s="110" t="s">
        <v>8</v>
      </c>
      <c r="J12" s="222" t="s">
        <v>8</v>
      </c>
      <c r="K12" s="109">
        <v>34569</v>
      </c>
      <c r="L12" s="109">
        <v>34578</v>
      </c>
      <c r="M12" s="110">
        <v>99.4</v>
      </c>
      <c r="N12" s="110">
        <v>99.68</v>
      </c>
      <c r="O12" s="167">
        <v>200</v>
      </c>
      <c r="P12" s="167">
        <v>249</v>
      </c>
      <c r="Q12" s="167">
        <v>200</v>
      </c>
      <c r="R12" s="224">
        <v>0.3566</v>
      </c>
      <c r="S12" s="225">
        <v>35.66</v>
      </c>
    </row>
    <row r="13" spans="1:19" s="25" customFormat="1" ht="12.75">
      <c r="A13" s="90" t="s">
        <v>15</v>
      </c>
      <c r="B13" s="226" t="s">
        <v>192</v>
      </c>
      <c r="C13" s="111">
        <v>35035</v>
      </c>
      <c r="D13" s="111">
        <v>34669</v>
      </c>
      <c r="E13" s="112">
        <v>104</v>
      </c>
      <c r="F13" s="112">
        <v>300</v>
      </c>
      <c r="G13" s="111" t="s">
        <v>8</v>
      </c>
      <c r="H13" s="111" t="s">
        <v>8</v>
      </c>
      <c r="I13" s="121" t="s">
        <v>8</v>
      </c>
      <c r="J13" s="227" t="s">
        <v>8</v>
      </c>
      <c r="K13" s="111">
        <v>34660</v>
      </c>
      <c r="L13" s="111">
        <v>34669</v>
      </c>
      <c r="M13" s="112">
        <v>101.5</v>
      </c>
      <c r="N13" s="112">
        <v>102.46</v>
      </c>
      <c r="O13" s="171">
        <v>100</v>
      </c>
      <c r="P13" s="171">
        <v>747.061</v>
      </c>
      <c r="Q13" s="171">
        <v>100</v>
      </c>
      <c r="R13" s="228">
        <v>0.3026</v>
      </c>
      <c r="S13" s="229">
        <v>30.26</v>
      </c>
    </row>
    <row r="14" spans="1:19" s="27" customFormat="1" ht="12.75">
      <c r="A14" s="113" t="s">
        <v>16</v>
      </c>
      <c r="B14" s="230" t="s">
        <v>193</v>
      </c>
      <c r="C14" s="115">
        <v>35126</v>
      </c>
      <c r="D14" s="115">
        <v>34759</v>
      </c>
      <c r="E14" s="116">
        <v>105</v>
      </c>
      <c r="F14" s="116">
        <v>200</v>
      </c>
      <c r="G14" s="115" t="s">
        <v>8</v>
      </c>
      <c r="H14" s="115" t="s">
        <v>8</v>
      </c>
      <c r="I14" s="117" t="s">
        <v>8</v>
      </c>
      <c r="J14" s="231" t="s">
        <v>8</v>
      </c>
      <c r="K14" s="115">
        <v>34751</v>
      </c>
      <c r="L14" s="115">
        <v>34759</v>
      </c>
      <c r="M14" s="116">
        <v>103</v>
      </c>
      <c r="N14" s="116">
        <v>103.26</v>
      </c>
      <c r="O14" s="176">
        <v>100</v>
      </c>
      <c r="P14" s="176">
        <v>811.8814</v>
      </c>
      <c r="Q14" s="176">
        <v>100</v>
      </c>
      <c r="R14" s="232">
        <v>0.2783</v>
      </c>
      <c r="S14" s="233">
        <v>27.83</v>
      </c>
    </row>
    <row r="15" spans="1:19" ht="12.75">
      <c r="A15" s="85" t="s">
        <v>17</v>
      </c>
      <c r="B15" s="221" t="s">
        <v>194</v>
      </c>
      <c r="C15" s="109">
        <v>35218</v>
      </c>
      <c r="D15" s="109">
        <v>34851</v>
      </c>
      <c r="E15" s="110">
        <v>105</v>
      </c>
      <c r="F15" s="110">
        <v>528.0999</v>
      </c>
      <c r="G15" s="109">
        <v>34813</v>
      </c>
      <c r="H15" s="109">
        <v>34823</v>
      </c>
      <c r="I15" s="119">
        <v>105</v>
      </c>
      <c r="J15" s="167">
        <v>171.9001</v>
      </c>
      <c r="K15" s="109">
        <v>34842</v>
      </c>
      <c r="L15" s="109">
        <v>34851</v>
      </c>
      <c r="M15" s="110">
        <v>103.5</v>
      </c>
      <c r="N15" s="110">
        <v>104.05</v>
      </c>
      <c r="O15" s="167">
        <v>200</v>
      </c>
      <c r="P15" s="167">
        <v>513.8753</v>
      </c>
      <c r="Q15" s="167">
        <v>200</v>
      </c>
      <c r="R15" s="224">
        <v>0.2652</v>
      </c>
      <c r="S15" s="225">
        <v>26.52</v>
      </c>
    </row>
    <row r="16" spans="1:19" ht="12.75">
      <c r="A16" s="85" t="s">
        <v>18</v>
      </c>
      <c r="B16" s="221" t="s">
        <v>195</v>
      </c>
      <c r="C16" s="109">
        <v>35310</v>
      </c>
      <c r="D16" s="109">
        <v>34943</v>
      </c>
      <c r="E16" s="110">
        <v>104.2</v>
      </c>
      <c r="F16" s="110">
        <v>587.939</v>
      </c>
      <c r="G16" s="109">
        <v>34904</v>
      </c>
      <c r="H16" s="109">
        <v>34915</v>
      </c>
      <c r="I16" s="119">
        <v>104</v>
      </c>
      <c r="J16" s="167">
        <v>97.8271</v>
      </c>
      <c r="K16" s="109">
        <v>34933</v>
      </c>
      <c r="L16" s="109">
        <v>34943</v>
      </c>
      <c r="M16" s="110">
        <v>101.4</v>
      </c>
      <c r="N16" s="110">
        <v>103.15</v>
      </c>
      <c r="O16" s="167">
        <v>300</v>
      </c>
      <c r="P16" s="167">
        <v>208</v>
      </c>
      <c r="Q16" s="167">
        <v>123</v>
      </c>
      <c r="R16" s="224">
        <v>0.2592</v>
      </c>
      <c r="S16" s="225">
        <v>25.92</v>
      </c>
    </row>
    <row r="17" spans="1:19" s="25" customFormat="1" ht="12.75">
      <c r="A17" s="90" t="s">
        <v>19</v>
      </c>
      <c r="B17" s="226" t="s">
        <v>196</v>
      </c>
      <c r="C17" s="111">
        <v>35401</v>
      </c>
      <c r="D17" s="111">
        <v>35034</v>
      </c>
      <c r="E17" s="112">
        <v>103.9</v>
      </c>
      <c r="F17" s="112">
        <v>745.9591</v>
      </c>
      <c r="G17" s="111">
        <v>34995</v>
      </c>
      <c r="H17" s="111">
        <v>35006</v>
      </c>
      <c r="I17" s="121">
        <v>103.5</v>
      </c>
      <c r="J17" s="171">
        <v>103.7996</v>
      </c>
      <c r="K17" s="111">
        <v>35024</v>
      </c>
      <c r="L17" s="111">
        <v>35034</v>
      </c>
      <c r="M17" s="112">
        <v>101</v>
      </c>
      <c r="N17" s="112">
        <v>101.48</v>
      </c>
      <c r="O17" s="171">
        <v>400</v>
      </c>
      <c r="P17" s="171">
        <v>271.2511</v>
      </c>
      <c r="Q17" s="171">
        <v>139.7511</v>
      </c>
      <c r="R17" s="228">
        <v>0.2475</v>
      </c>
      <c r="S17" s="229">
        <v>24.75</v>
      </c>
    </row>
    <row r="18" spans="1:19" s="27" customFormat="1" ht="12.75">
      <c r="A18" s="113" t="s">
        <v>20</v>
      </c>
      <c r="B18" s="230" t="s">
        <v>197</v>
      </c>
      <c r="C18" s="115">
        <v>35491</v>
      </c>
      <c r="D18" s="115">
        <v>35125</v>
      </c>
      <c r="E18" s="116">
        <v>105</v>
      </c>
      <c r="F18" s="116">
        <v>217.0177</v>
      </c>
      <c r="G18" s="115">
        <v>35086</v>
      </c>
      <c r="H18" s="115">
        <v>35097</v>
      </c>
      <c r="I18" s="117">
        <v>104.5</v>
      </c>
      <c r="J18" s="176">
        <v>51.7064</v>
      </c>
      <c r="K18" s="115">
        <v>35115</v>
      </c>
      <c r="L18" s="115">
        <v>35125</v>
      </c>
      <c r="M18" s="116">
        <v>102</v>
      </c>
      <c r="N18" s="116">
        <v>102.45</v>
      </c>
      <c r="O18" s="176">
        <v>200</v>
      </c>
      <c r="P18" s="176">
        <v>576.385</v>
      </c>
      <c r="Q18" s="176">
        <v>133</v>
      </c>
      <c r="R18" s="232">
        <v>0.2404</v>
      </c>
      <c r="S18" s="233">
        <v>24.04</v>
      </c>
    </row>
    <row r="19" spans="1:19" ht="12.75">
      <c r="A19" s="85" t="s">
        <v>21</v>
      </c>
      <c r="B19" s="221" t="s">
        <v>198</v>
      </c>
      <c r="C19" s="109">
        <v>35585</v>
      </c>
      <c r="D19" s="109">
        <v>35219</v>
      </c>
      <c r="E19" s="110">
        <v>103</v>
      </c>
      <c r="F19" s="110">
        <v>753.4794</v>
      </c>
      <c r="G19" s="109">
        <v>35177</v>
      </c>
      <c r="H19" s="109">
        <v>35187</v>
      </c>
      <c r="I19" s="119">
        <v>102.5</v>
      </c>
      <c r="J19" s="167">
        <v>145.9517</v>
      </c>
      <c r="K19" s="109" t="s">
        <v>8</v>
      </c>
      <c r="L19" s="109" t="s">
        <v>8</v>
      </c>
      <c r="M19" s="234" t="s">
        <v>8</v>
      </c>
      <c r="N19" s="234" t="s">
        <v>8</v>
      </c>
      <c r="O19" s="234" t="s">
        <v>8</v>
      </c>
      <c r="P19" s="234" t="s">
        <v>8</v>
      </c>
      <c r="Q19" s="234" t="s">
        <v>8</v>
      </c>
      <c r="R19" s="224">
        <v>0.1996</v>
      </c>
      <c r="S19" s="225">
        <v>19.96</v>
      </c>
    </row>
    <row r="20" spans="1:19" ht="12.75">
      <c r="A20" s="85" t="s">
        <v>22</v>
      </c>
      <c r="B20" s="221" t="s">
        <v>200</v>
      </c>
      <c r="C20" s="109">
        <v>35676</v>
      </c>
      <c r="D20" s="109">
        <v>35310</v>
      </c>
      <c r="E20" s="110">
        <v>103</v>
      </c>
      <c r="F20" s="110">
        <v>681.3861</v>
      </c>
      <c r="G20" s="109">
        <v>35268</v>
      </c>
      <c r="H20" s="109">
        <v>35279</v>
      </c>
      <c r="I20" s="119">
        <v>102.5</v>
      </c>
      <c r="J20" s="167">
        <v>218.6139</v>
      </c>
      <c r="K20" s="109" t="s">
        <v>8</v>
      </c>
      <c r="L20" s="109" t="s">
        <v>8</v>
      </c>
      <c r="M20" s="234" t="s">
        <v>8</v>
      </c>
      <c r="N20" s="234" t="s">
        <v>8</v>
      </c>
      <c r="O20" s="234" t="s">
        <v>8</v>
      </c>
      <c r="P20" s="234" t="s">
        <v>8</v>
      </c>
      <c r="Q20" s="234" t="s">
        <v>8</v>
      </c>
      <c r="R20" s="224">
        <v>0.1824</v>
      </c>
      <c r="S20" s="225">
        <v>18.24</v>
      </c>
    </row>
    <row r="21" spans="1:19" s="25" customFormat="1" ht="12.75">
      <c r="A21" s="90" t="s">
        <v>23</v>
      </c>
      <c r="B21" s="226" t="s">
        <v>199</v>
      </c>
      <c r="C21" s="111">
        <v>35767</v>
      </c>
      <c r="D21" s="111">
        <v>35401</v>
      </c>
      <c r="E21" s="112">
        <v>103</v>
      </c>
      <c r="F21" s="112">
        <v>829.6424</v>
      </c>
      <c r="G21" s="111">
        <v>35359</v>
      </c>
      <c r="H21" s="111">
        <v>35371</v>
      </c>
      <c r="I21" s="121">
        <v>102.5</v>
      </c>
      <c r="J21" s="171">
        <v>270.3576</v>
      </c>
      <c r="K21" s="111" t="s">
        <v>8</v>
      </c>
      <c r="L21" s="111" t="s">
        <v>8</v>
      </c>
      <c r="M21" s="235" t="s">
        <v>8</v>
      </c>
      <c r="N21" s="235" t="s">
        <v>8</v>
      </c>
      <c r="O21" s="235" t="s">
        <v>8</v>
      </c>
      <c r="P21" s="235" t="s">
        <v>8</v>
      </c>
      <c r="Q21" s="235" t="s">
        <v>8</v>
      </c>
      <c r="R21" s="228">
        <v>0.1722</v>
      </c>
      <c r="S21" s="229">
        <v>17.22</v>
      </c>
    </row>
    <row r="22" spans="1:19" s="27" customFormat="1" ht="12.75">
      <c r="A22" s="113" t="s">
        <v>24</v>
      </c>
      <c r="B22" s="230" t="s">
        <v>201</v>
      </c>
      <c r="C22" s="115">
        <v>35858</v>
      </c>
      <c r="D22" s="115">
        <v>35492</v>
      </c>
      <c r="E22" s="116">
        <v>96.5</v>
      </c>
      <c r="F22" s="116">
        <v>207.8838</v>
      </c>
      <c r="G22" s="115">
        <v>35450</v>
      </c>
      <c r="H22" s="115">
        <v>35463</v>
      </c>
      <c r="I22" s="117">
        <v>95.5</v>
      </c>
      <c r="J22" s="176">
        <v>192.1162</v>
      </c>
      <c r="K22" s="115" t="s">
        <v>8</v>
      </c>
      <c r="L22" s="115" t="s">
        <v>8</v>
      </c>
      <c r="M22" s="236" t="s">
        <v>8</v>
      </c>
      <c r="N22" s="236" t="s">
        <v>8</v>
      </c>
      <c r="O22" s="236" t="s">
        <v>8</v>
      </c>
      <c r="P22" s="236" t="s">
        <v>8</v>
      </c>
      <c r="Q22" s="236" t="s">
        <v>8</v>
      </c>
      <c r="R22" s="232">
        <v>0.1643</v>
      </c>
      <c r="S22" s="233">
        <v>16.43</v>
      </c>
    </row>
    <row r="23" spans="1:19" ht="12.75">
      <c r="A23" s="85" t="s">
        <v>25</v>
      </c>
      <c r="B23" s="221" t="s">
        <v>202</v>
      </c>
      <c r="C23" s="109">
        <v>35950</v>
      </c>
      <c r="D23" s="109">
        <v>35584</v>
      </c>
      <c r="E23" s="110">
        <v>95</v>
      </c>
      <c r="F23" s="110">
        <v>170.2</v>
      </c>
      <c r="G23" s="109">
        <v>35544</v>
      </c>
      <c r="H23" s="109">
        <v>35557</v>
      </c>
      <c r="I23" s="119">
        <v>94.5</v>
      </c>
      <c r="J23" s="167">
        <v>161.1374</v>
      </c>
      <c r="K23" s="109" t="s">
        <v>8</v>
      </c>
      <c r="L23" s="109" t="s">
        <v>8</v>
      </c>
      <c r="M23" s="234" t="s">
        <v>8</v>
      </c>
      <c r="N23" s="234" t="s">
        <v>8</v>
      </c>
      <c r="O23" s="234" t="s">
        <v>8</v>
      </c>
      <c r="P23" s="234" t="s">
        <v>8</v>
      </c>
      <c r="Q23" s="234" t="s">
        <v>8</v>
      </c>
      <c r="R23" s="224">
        <v>0.1421</v>
      </c>
      <c r="S23" s="237">
        <v>14.21</v>
      </c>
    </row>
    <row r="24" spans="1:19" ht="12.75">
      <c r="A24" s="85" t="s">
        <v>26</v>
      </c>
      <c r="B24" s="221" t="s">
        <v>203</v>
      </c>
      <c r="C24" s="109">
        <v>36041</v>
      </c>
      <c r="D24" s="109">
        <v>35675</v>
      </c>
      <c r="E24" s="110">
        <v>92.7</v>
      </c>
      <c r="F24" s="110">
        <v>260.0022</v>
      </c>
      <c r="G24" s="109">
        <v>35635</v>
      </c>
      <c r="H24" s="109">
        <v>35648</v>
      </c>
      <c r="I24" s="119">
        <v>92</v>
      </c>
      <c r="J24" s="167">
        <v>159.8442</v>
      </c>
      <c r="K24" s="109" t="s">
        <v>8</v>
      </c>
      <c r="L24" s="109" t="s">
        <v>8</v>
      </c>
      <c r="M24" s="234" t="s">
        <v>8</v>
      </c>
      <c r="N24" s="234" t="s">
        <v>8</v>
      </c>
      <c r="O24" s="234" t="s">
        <v>8</v>
      </c>
      <c r="P24" s="234" t="s">
        <v>8</v>
      </c>
      <c r="Q24" s="234" t="s">
        <v>8</v>
      </c>
      <c r="R24" s="224">
        <v>0.1241</v>
      </c>
      <c r="S24" s="237">
        <v>12.41</v>
      </c>
    </row>
    <row r="25" spans="1:19" s="25" customFormat="1" ht="12.75">
      <c r="A25" s="90" t="s">
        <v>27</v>
      </c>
      <c r="B25" s="226" t="s">
        <v>204</v>
      </c>
      <c r="C25" s="111">
        <v>36132</v>
      </c>
      <c r="D25" s="111">
        <v>35766</v>
      </c>
      <c r="E25" s="112">
        <v>91</v>
      </c>
      <c r="F25" s="112">
        <v>170.7037</v>
      </c>
      <c r="G25" s="111">
        <v>35727</v>
      </c>
      <c r="H25" s="111">
        <v>35740</v>
      </c>
      <c r="I25" s="121">
        <v>90.5</v>
      </c>
      <c r="J25" s="171">
        <v>122.2188</v>
      </c>
      <c r="K25" s="111" t="s">
        <v>8</v>
      </c>
      <c r="L25" s="111" t="s">
        <v>8</v>
      </c>
      <c r="M25" s="235" t="s">
        <v>8</v>
      </c>
      <c r="N25" s="235" t="s">
        <v>8</v>
      </c>
      <c r="O25" s="235" t="s">
        <v>8</v>
      </c>
      <c r="P25" s="235" t="s">
        <v>8</v>
      </c>
      <c r="Q25" s="235" t="s">
        <v>8</v>
      </c>
      <c r="R25" s="228">
        <v>0.1164</v>
      </c>
      <c r="S25" s="229">
        <v>11.64</v>
      </c>
    </row>
    <row r="26" spans="1:19" s="27" customFormat="1" ht="12.75">
      <c r="A26" s="113" t="s">
        <v>28</v>
      </c>
      <c r="B26" s="230" t="s">
        <v>208</v>
      </c>
      <c r="C26" s="115">
        <v>36223</v>
      </c>
      <c r="D26" s="115">
        <v>35857</v>
      </c>
      <c r="E26" s="116">
        <v>90.5</v>
      </c>
      <c r="F26" s="116">
        <v>263.5007</v>
      </c>
      <c r="G26" s="115">
        <v>35821</v>
      </c>
      <c r="H26" s="115">
        <v>35832</v>
      </c>
      <c r="I26" s="117">
        <v>90.1</v>
      </c>
      <c r="J26" s="176">
        <v>163.0955</v>
      </c>
      <c r="K26" s="115" t="s">
        <v>8</v>
      </c>
      <c r="L26" s="115" t="s">
        <v>8</v>
      </c>
      <c r="M26" s="236" t="s">
        <v>8</v>
      </c>
      <c r="N26" s="236" t="s">
        <v>8</v>
      </c>
      <c r="O26" s="236" t="s">
        <v>8</v>
      </c>
      <c r="P26" s="236" t="s">
        <v>8</v>
      </c>
      <c r="Q26" s="236" t="s">
        <v>8</v>
      </c>
      <c r="R26" s="232">
        <v>0.0966</v>
      </c>
      <c r="S26" s="233">
        <v>9.66</v>
      </c>
    </row>
    <row r="27" spans="1:19" ht="12.75">
      <c r="A27" s="85" t="s">
        <v>29</v>
      </c>
      <c r="B27" s="221" t="s">
        <v>209</v>
      </c>
      <c r="C27" s="109">
        <v>36312</v>
      </c>
      <c r="D27" s="109">
        <v>35947</v>
      </c>
      <c r="E27" s="110">
        <v>90.5</v>
      </c>
      <c r="F27" s="110">
        <v>461.6819</v>
      </c>
      <c r="G27" s="109">
        <v>35908</v>
      </c>
      <c r="H27" s="109">
        <v>35921</v>
      </c>
      <c r="I27" s="119">
        <v>90.1</v>
      </c>
      <c r="J27" s="167">
        <v>148.2356</v>
      </c>
      <c r="K27" s="109" t="s">
        <v>8</v>
      </c>
      <c r="L27" s="109" t="s">
        <v>8</v>
      </c>
      <c r="M27" s="234" t="s">
        <v>8</v>
      </c>
      <c r="N27" s="234" t="s">
        <v>8</v>
      </c>
      <c r="O27" s="234" t="s">
        <v>8</v>
      </c>
      <c r="P27" s="234" t="s">
        <v>8</v>
      </c>
      <c r="Q27" s="234" t="s">
        <v>8</v>
      </c>
      <c r="R27" s="238">
        <v>0.084</v>
      </c>
      <c r="S27" s="237">
        <v>8.4</v>
      </c>
    </row>
    <row r="28" spans="1:19" ht="12.75">
      <c r="A28" s="85" t="s">
        <v>30</v>
      </c>
      <c r="B28" s="221" t="s">
        <v>210</v>
      </c>
      <c r="C28" s="109">
        <v>36404</v>
      </c>
      <c r="D28" s="109">
        <v>36039</v>
      </c>
      <c r="E28" s="110">
        <v>93</v>
      </c>
      <c r="F28" s="110">
        <v>622.6528</v>
      </c>
      <c r="G28" s="109">
        <v>35999</v>
      </c>
      <c r="H28" s="109">
        <v>36012</v>
      </c>
      <c r="I28" s="110">
        <v>91.5</v>
      </c>
      <c r="J28" s="167">
        <v>177.3472</v>
      </c>
      <c r="K28" s="109" t="s">
        <v>8</v>
      </c>
      <c r="L28" s="109" t="s">
        <v>8</v>
      </c>
      <c r="M28" s="234" t="s">
        <v>8</v>
      </c>
      <c r="N28" s="239" t="s">
        <v>8</v>
      </c>
      <c r="O28" s="239" t="s">
        <v>8</v>
      </c>
      <c r="P28" s="239" t="s">
        <v>8</v>
      </c>
      <c r="Q28" s="234" t="s">
        <v>8</v>
      </c>
      <c r="R28" s="224">
        <v>0.0873</v>
      </c>
      <c r="S28" s="237">
        <v>8.73</v>
      </c>
    </row>
    <row r="29" spans="1:19" ht="12.75">
      <c r="A29" s="85" t="s">
        <v>31</v>
      </c>
      <c r="B29" s="221" t="s">
        <v>207</v>
      </c>
      <c r="C29" s="109">
        <v>36495</v>
      </c>
      <c r="D29" s="109">
        <v>36130</v>
      </c>
      <c r="E29" s="110">
        <v>95.9</v>
      </c>
      <c r="F29" s="110">
        <v>502.5933</v>
      </c>
      <c r="G29" s="109">
        <v>36090</v>
      </c>
      <c r="H29" s="109">
        <v>36103</v>
      </c>
      <c r="I29" s="110">
        <v>93.8</v>
      </c>
      <c r="J29" s="167">
        <v>153.3204</v>
      </c>
      <c r="K29" s="109" t="s">
        <v>8</v>
      </c>
      <c r="L29" s="109" t="s">
        <v>8</v>
      </c>
      <c r="M29" s="234" t="s">
        <v>8</v>
      </c>
      <c r="N29" s="239" t="s">
        <v>8</v>
      </c>
      <c r="O29" s="239" t="s">
        <v>8</v>
      </c>
      <c r="P29" s="239" t="s">
        <v>8</v>
      </c>
      <c r="Q29" s="234" t="s">
        <v>8</v>
      </c>
      <c r="R29" s="224">
        <v>0.0948</v>
      </c>
      <c r="S29" s="237">
        <v>9.48</v>
      </c>
    </row>
    <row r="30" spans="1:19" ht="12.75">
      <c r="A30" s="90" t="s">
        <v>32</v>
      </c>
      <c r="B30" s="226" t="s">
        <v>205</v>
      </c>
      <c r="C30" s="111">
        <v>36586</v>
      </c>
      <c r="D30" s="111">
        <v>36220</v>
      </c>
      <c r="E30" s="112">
        <v>98.8</v>
      </c>
      <c r="F30" s="112">
        <v>91.4576</v>
      </c>
      <c r="G30" s="111">
        <v>36181</v>
      </c>
      <c r="H30" s="111">
        <v>36194</v>
      </c>
      <c r="I30" s="112">
        <v>97.5</v>
      </c>
      <c r="J30" s="171">
        <v>172.5182</v>
      </c>
      <c r="K30" s="111" t="s">
        <v>8</v>
      </c>
      <c r="L30" s="111" t="s">
        <v>8</v>
      </c>
      <c r="M30" s="235" t="s">
        <v>8</v>
      </c>
      <c r="N30" s="235" t="s">
        <v>8</v>
      </c>
      <c r="O30" s="235" t="s">
        <v>8</v>
      </c>
      <c r="P30" s="235" t="s">
        <v>8</v>
      </c>
      <c r="Q30" s="235" t="s">
        <v>8</v>
      </c>
      <c r="R30" s="228">
        <v>0.109</v>
      </c>
      <c r="S30" s="252">
        <v>10.9</v>
      </c>
    </row>
    <row r="31" spans="1:19" ht="12.75">
      <c r="A31" s="250"/>
      <c r="B31" s="250"/>
      <c r="C31" s="2"/>
      <c r="D31" s="2"/>
      <c r="E31" s="3"/>
      <c r="F31" s="4"/>
      <c r="G31" s="2"/>
      <c r="H31" s="2"/>
      <c r="I31" s="3"/>
      <c r="J31" s="4"/>
      <c r="K31" s="4"/>
      <c r="L31" s="4"/>
      <c r="M31" s="4"/>
      <c r="N31" s="4"/>
      <c r="O31" s="4"/>
      <c r="P31" s="4"/>
      <c r="Q31" s="4"/>
      <c r="R31" s="4"/>
      <c r="S31" s="251"/>
    </row>
    <row r="45" spans="3:9" ht="12.75">
      <c r="C45" s="2"/>
      <c r="D45" s="2"/>
      <c r="G45" s="3"/>
      <c r="H45" s="4"/>
      <c r="I45" s="5"/>
    </row>
    <row r="64" spans="1:2" ht="12.75">
      <c r="A64" s="12"/>
      <c r="B64" s="12"/>
    </row>
    <row r="65" spans="1:2" ht="12.75">
      <c r="A65" s="12"/>
      <c r="B65" s="12"/>
    </row>
    <row r="67" spans="1:2" ht="12.75" hidden="1">
      <c r="A67" s="12"/>
      <c r="B67" s="12"/>
    </row>
    <row r="68" spans="1:2" ht="12.75" hidden="1">
      <c r="A68" s="12"/>
      <c r="B68" s="12"/>
    </row>
  </sheetData>
  <sheetProtection/>
  <mergeCells count="8">
    <mergeCell ref="D1:F1"/>
    <mergeCell ref="G1:J1"/>
    <mergeCell ref="K1:Q1"/>
    <mergeCell ref="S1:S2"/>
    <mergeCell ref="R1:R2"/>
    <mergeCell ref="A1:A2"/>
    <mergeCell ref="B1:B2"/>
    <mergeCell ref="C1:C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4"/>
  <dimension ref="A1:H9"/>
  <sheetViews>
    <sheetView zoomScale="115" zoomScaleNormal="11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" sqref="F1"/>
    </sheetView>
  </sheetViews>
  <sheetFormatPr defaultColWidth="0" defaultRowHeight="12.75"/>
  <cols>
    <col min="1" max="1" width="20.875" style="0" customWidth="1"/>
    <col min="2" max="2" width="15.875" style="0" bestFit="1" customWidth="1"/>
    <col min="3" max="3" width="15.00390625" style="0" bestFit="1" customWidth="1"/>
    <col min="4" max="4" width="14.50390625" style="0" bestFit="1" customWidth="1"/>
    <col min="5" max="5" width="17.00390625" style="0" bestFit="1" customWidth="1"/>
    <col min="6" max="6" width="23.125" style="0" bestFit="1" customWidth="1"/>
    <col min="7" max="7" width="19.00390625" style="0" bestFit="1" customWidth="1"/>
    <col min="8" max="8" width="12.875" style="0" bestFit="1" customWidth="1"/>
    <col min="9" max="16384" width="9.375" style="0" hidden="1" customWidth="1"/>
  </cols>
  <sheetData>
    <row r="1" spans="1:8" s="16" customFormat="1" ht="18.75" customHeight="1" thickBot="1">
      <c r="A1" s="218" t="str">
        <f>Seria</f>
        <v>Seria</v>
      </c>
      <c r="B1" s="218" t="str">
        <f>ISIN</f>
        <v>Kod ISIN</v>
      </c>
      <c r="C1" s="240" t="str">
        <f>Wykup</f>
        <v>Data wykupu</v>
      </c>
      <c r="D1" s="240" t="str">
        <f>Zaplata</f>
        <v>Data zapłaty</v>
      </c>
      <c r="E1" s="240" t="str">
        <f>CenaEmisyjna</f>
        <v>Cena emisyjna</v>
      </c>
      <c r="F1" s="208" t="str">
        <f>Sprzedaz&amp;" (zł)"</f>
        <v>Sprzedaż łączna (zł)</v>
      </c>
      <c r="G1" s="240" t="str">
        <f>Oprocentowanie</f>
        <v>Oprocentowanie</v>
      </c>
      <c r="H1" s="240" t="str">
        <f>Odsetki&amp;" (zł)"</f>
        <v>Odsetki (zł)</v>
      </c>
    </row>
    <row r="2" spans="1:8" s="1" customFormat="1" ht="12.75">
      <c r="A2" s="133" t="s">
        <v>34</v>
      </c>
      <c r="B2" s="241" t="s">
        <v>181</v>
      </c>
      <c r="C2" s="160">
        <v>36342</v>
      </c>
      <c r="D2" s="160">
        <v>35977</v>
      </c>
      <c r="E2" s="161">
        <v>100</v>
      </c>
      <c r="F2" s="242">
        <v>1986047800</v>
      </c>
      <c r="G2" s="243">
        <v>0.2071</v>
      </c>
      <c r="H2" s="161">
        <v>20.71</v>
      </c>
    </row>
    <row r="3" spans="1:8" s="24" customFormat="1" ht="12.75">
      <c r="A3" s="90" t="s">
        <v>35</v>
      </c>
      <c r="B3" s="244" t="s">
        <v>178</v>
      </c>
      <c r="C3" s="111">
        <v>36434</v>
      </c>
      <c r="D3" s="111">
        <v>36069</v>
      </c>
      <c r="E3" s="112">
        <v>100</v>
      </c>
      <c r="F3" s="245">
        <v>1000000000</v>
      </c>
      <c r="G3" s="246">
        <v>0.18</v>
      </c>
      <c r="H3" s="112">
        <v>18</v>
      </c>
    </row>
    <row r="4" spans="1:8" s="28" customFormat="1" ht="14.25">
      <c r="A4" s="113" t="s">
        <v>36</v>
      </c>
      <c r="B4" s="247" t="s">
        <v>179</v>
      </c>
      <c r="C4" s="115">
        <v>36708</v>
      </c>
      <c r="D4" s="115">
        <v>36342</v>
      </c>
      <c r="E4" s="116">
        <v>100</v>
      </c>
      <c r="F4" s="248">
        <v>1322151500</v>
      </c>
      <c r="G4" s="249">
        <v>0.105</v>
      </c>
      <c r="H4" s="116">
        <v>10.5</v>
      </c>
    </row>
    <row r="5" spans="1:8" s="1" customFormat="1" ht="14.25">
      <c r="A5" s="90" t="s">
        <v>37</v>
      </c>
      <c r="B5" s="244" t="s">
        <v>180</v>
      </c>
      <c r="C5" s="111">
        <v>36800</v>
      </c>
      <c r="D5" s="111">
        <v>36434</v>
      </c>
      <c r="E5" s="112">
        <v>100</v>
      </c>
      <c r="F5" s="245">
        <v>347138100</v>
      </c>
      <c r="G5" s="246">
        <v>0.11</v>
      </c>
      <c r="H5" s="112">
        <v>11</v>
      </c>
    </row>
    <row r="6" spans="3:8" s="1" customFormat="1" ht="12.75">
      <c r="C6" s="2"/>
      <c r="D6" s="2"/>
      <c r="E6" s="3"/>
      <c r="F6" s="4"/>
      <c r="G6" s="5"/>
      <c r="H6" s="3"/>
    </row>
    <row r="8" spans="1:2" ht="12.75">
      <c r="A8" s="9" t="str">
        <f>"1) "&amp;IF(Wybor="PL","obligacje te mogły zostać nabyte przez posiadaczy obligacji RS0799 wyłącznie w drodze zamiany","this bonds could be bought by owners of series RS0799 in the way of exchange only")</f>
        <v>1) obligacje te mogły zostać nabyte przez posiadaczy obligacji RS0799 wyłącznie w drodze zamiany</v>
      </c>
      <c r="B8" s="9"/>
    </row>
    <row r="9" spans="1:2" ht="12.75">
      <c r="A9" s="9" t="str">
        <f>"2) "&amp;IF(Wybor="PL","obligacje te mogły zostać nabyte przez posiadaczy obligacji RS1099 wyłącznie w drodze zamiany","this bonds could be bought by owners of series RS1099 in the way of exchange only")</f>
        <v>2) obligacje te mogły zostać nabyte przez posiadaczy obligacji RS1099 wyłącznie w drodze zamiany</v>
      </c>
      <c r="B9" s="9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22"/>
  <dimension ref="A1:K277"/>
  <sheetViews>
    <sheetView zoomScale="115" zoomScaleNormal="115" zoomScalePageLayoutView="0" workbookViewId="0" topLeftCell="A1">
      <pane xSplit="2" ySplit="1" topLeftCell="C27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1" sqref="H1"/>
    </sheetView>
  </sheetViews>
  <sheetFormatPr defaultColWidth="0" defaultRowHeight="12.75"/>
  <cols>
    <col min="1" max="1" width="10.875" style="13" customWidth="1"/>
    <col min="2" max="2" width="16.50390625" style="13" customWidth="1"/>
    <col min="3" max="3" width="30.875" style="13" customWidth="1"/>
    <col min="4" max="4" width="17.625" style="13" customWidth="1"/>
    <col min="5" max="5" width="11.875" style="13" customWidth="1"/>
    <col min="6" max="6" width="12.50390625" style="13" customWidth="1"/>
    <col min="7" max="7" width="18.00390625" style="13" customWidth="1"/>
    <col min="8" max="8" width="11.50390625" style="18" customWidth="1"/>
    <col min="9" max="9" width="15.875" style="18" customWidth="1"/>
    <col min="10" max="11" width="24.50390625" style="13" customWidth="1"/>
    <col min="12" max="16384" width="9.375" style="0" hidden="1" customWidth="1"/>
  </cols>
  <sheetData>
    <row r="1" spans="1:11" ht="40.5" customHeight="1" thickBot="1">
      <c r="A1" s="131" t="str">
        <f>Seria</f>
        <v>Seria</v>
      </c>
      <c r="B1" s="132" t="str">
        <f>ISIN</f>
        <v>Kod ISIN</v>
      </c>
      <c r="C1" s="132" t="str">
        <f>Wykup</f>
        <v>Data wykupu</v>
      </c>
      <c r="D1" s="132" t="str">
        <f>PoczatekSprzedazy</f>
        <v>Początek sprzedaży</v>
      </c>
      <c r="E1" s="132" t="str">
        <f>KoniecSprzedazy</f>
        <v>Koniec sprzedaży</v>
      </c>
      <c r="F1" s="108" t="str">
        <f>CenaEmisyjna</f>
        <v>Cena emisyjna</v>
      </c>
      <c r="G1" s="108" t="str">
        <f>switch_price</f>
        <v>Cena zamiany</v>
      </c>
      <c r="H1" s="132" t="str">
        <f>Sprzedaz&amp;"
(mln zł)"</f>
        <v>Sprzedaż łączna
(mln zł)</v>
      </c>
      <c r="I1" s="132" t="str">
        <f>switch&amp;" (mln zł)"</f>
        <v>w tym zamiana (mln zł)</v>
      </c>
      <c r="J1" s="108" t="str">
        <f>Oprocentowanie</f>
        <v>Oprocentowanie</v>
      </c>
      <c r="K1" s="108" t="str">
        <f>Odsetki&amp;" (zł)"</f>
        <v>Odsetki (zł)</v>
      </c>
    </row>
    <row r="2" spans="1:11" s="7" customFormat="1" ht="12.75">
      <c r="A2" s="133" t="s">
        <v>39</v>
      </c>
      <c r="B2" s="134" t="s">
        <v>177</v>
      </c>
      <c r="C2" s="160" t="str">
        <f>"2"&amp;WykupCOI</f>
        <v>2 lat/a od dnia zakupu</v>
      </c>
      <c r="D2" s="160">
        <v>36312</v>
      </c>
      <c r="E2" s="160">
        <v>36341</v>
      </c>
      <c r="F2" s="161">
        <v>100</v>
      </c>
      <c r="G2" s="161"/>
      <c r="H2" s="253">
        <v>200</v>
      </c>
      <c r="I2" s="253"/>
      <c r="J2" s="243">
        <v>0.1</v>
      </c>
      <c r="K2" s="161">
        <v>21</v>
      </c>
    </row>
    <row r="3" spans="1:11" s="7" customFormat="1" ht="12.75">
      <c r="A3" s="85" t="s">
        <v>40</v>
      </c>
      <c r="B3" s="86" t="s">
        <v>166</v>
      </c>
      <c r="C3" s="109" t="str">
        <f>"2"&amp;WykupCOI</f>
        <v>2 lat/a od dnia zakupu</v>
      </c>
      <c r="D3" s="109">
        <v>36342</v>
      </c>
      <c r="E3" s="109">
        <v>36371</v>
      </c>
      <c r="F3" s="110">
        <v>100</v>
      </c>
      <c r="G3" s="110"/>
      <c r="H3" s="254">
        <v>92.913</v>
      </c>
      <c r="I3" s="254"/>
      <c r="J3" s="255">
        <v>0.1</v>
      </c>
      <c r="K3" s="110">
        <v>21</v>
      </c>
    </row>
    <row r="4" spans="1:11" s="7" customFormat="1" ht="12.75">
      <c r="A4" s="85" t="s">
        <v>41</v>
      </c>
      <c r="B4" s="86" t="s">
        <v>167</v>
      </c>
      <c r="C4" s="109" t="str">
        <f aca="true" t="shared" si="0" ref="C4:C67">"2"&amp;WykupCOI</f>
        <v>2 lat/a od dnia zakupu</v>
      </c>
      <c r="D4" s="109">
        <v>36374</v>
      </c>
      <c r="E4" s="109">
        <v>36403</v>
      </c>
      <c r="F4" s="110">
        <v>100</v>
      </c>
      <c r="G4" s="110"/>
      <c r="H4" s="254">
        <v>17.1799</v>
      </c>
      <c r="I4" s="254"/>
      <c r="J4" s="255">
        <v>0.1</v>
      </c>
      <c r="K4" s="110">
        <v>21</v>
      </c>
    </row>
    <row r="5" spans="1:11" s="7" customFormat="1" ht="12.75">
      <c r="A5" s="85" t="s">
        <v>42</v>
      </c>
      <c r="B5" s="86" t="s">
        <v>168</v>
      </c>
      <c r="C5" s="109" t="str">
        <f t="shared" si="0"/>
        <v>2 lat/a od dnia zakupu</v>
      </c>
      <c r="D5" s="109">
        <v>36404</v>
      </c>
      <c r="E5" s="109">
        <v>36433</v>
      </c>
      <c r="F5" s="110">
        <v>100</v>
      </c>
      <c r="G5" s="110"/>
      <c r="H5" s="254">
        <v>58.3624</v>
      </c>
      <c r="I5" s="254"/>
      <c r="J5" s="255">
        <v>0.105</v>
      </c>
      <c r="K5" s="110">
        <v>22.1</v>
      </c>
    </row>
    <row r="6" spans="1:11" s="7" customFormat="1" ht="12.75">
      <c r="A6" s="85" t="s">
        <v>43</v>
      </c>
      <c r="B6" s="86" t="s">
        <v>169</v>
      </c>
      <c r="C6" s="109" t="str">
        <f t="shared" si="0"/>
        <v>2 lat/a od dnia zakupu</v>
      </c>
      <c r="D6" s="109">
        <v>36434</v>
      </c>
      <c r="E6" s="109">
        <v>36462</v>
      </c>
      <c r="F6" s="110">
        <v>100</v>
      </c>
      <c r="G6" s="110"/>
      <c r="H6" s="254">
        <v>16.8257</v>
      </c>
      <c r="I6" s="254"/>
      <c r="J6" s="255">
        <v>0.11</v>
      </c>
      <c r="K6" s="110">
        <v>23.21</v>
      </c>
    </row>
    <row r="7" spans="1:11" s="7" customFormat="1" ht="12.75">
      <c r="A7" s="85" t="s">
        <v>44</v>
      </c>
      <c r="B7" s="86" t="s">
        <v>170</v>
      </c>
      <c r="C7" s="109" t="str">
        <f t="shared" si="0"/>
        <v>2 lat/a od dnia zakupu</v>
      </c>
      <c r="D7" s="109">
        <v>36466</v>
      </c>
      <c r="E7" s="109">
        <v>36494</v>
      </c>
      <c r="F7" s="110">
        <v>100</v>
      </c>
      <c r="G7" s="110"/>
      <c r="H7" s="254">
        <v>28.751</v>
      </c>
      <c r="I7" s="254"/>
      <c r="J7" s="255">
        <v>0.12</v>
      </c>
      <c r="K7" s="110">
        <v>25.44</v>
      </c>
    </row>
    <row r="8" spans="1:11" s="7" customFormat="1" ht="12.75">
      <c r="A8" s="90" t="s">
        <v>45</v>
      </c>
      <c r="B8" s="91" t="s">
        <v>171</v>
      </c>
      <c r="C8" s="111" t="str">
        <f t="shared" si="0"/>
        <v>2 lat/a od dnia zakupu</v>
      </c>
      <c r="D8" s="111">
        <v>36495</v>
      </c>
      <c r="E8" s="111">
        <v>36518</v>
      </c>
      <c r="F8" s="112">
        <v>100</v>
      </c>
      <c r="G8" s="121"/>
      <c r="H8" s="256">
        <v>95.6044</v>
      </c>
      <c r="I8" s="256"/>
      <c r="J8" s="257">
        <v>0.13</v>
      </c>
      <c r="K8" s="121">
        <v>27.69</v>
      </c>
    </row>
    <row r="9" spans="1:11" s="7" customFormat="1" ht="12.75">
      <c r="A9" s="85" t="s">
        <v>46</v>
      </c>
      <c r="B9" s="86" t="s">
        <v>172</v>
      </c>
      <c r="C9" s="109" t="str">
        <f t="shared" si="0"/>
        <v>2 lat/a od dnia zakupu</v>
      </c>
      <c r="D9" s="109">
        <v>36528</v>
      </c>
      <c r="E9" s="109">
        <v>36556</v>
      </c>
      <c r="F9" s="110">
        <v>100</v>
      </c>
      <c r="G9" s="119"/>
      <c r="H9" s="258">
        <v>65.1825</v>
      </c>
      <c r="I9" s="258"/>
      <c r="J9" s="259">
        <v>0.13</v>
      </c>
      <c r="K9" s="119">
        <v>27.69</v>
      </c>
    </row>
    <row r="10" spans="1:11" s="7" customFormat="1" ht="12.75">
      <c r="A10" s="85" t="s">
        <v>47</v>
      </c>
      <c r="B10" s="86" t="s">
        <v>173</v>
      </c>
      <c r="C10" s="109" t="str">
        <f t="shared" si="0"/>
        <v>2 lat/a od dnia zakupu</v>
      </c>
      <c r="D10" s="109">
        <v>36557</v>
      </c>
      <c r="E10" s="109">
        <v>36584</v>
      </c>
      <c r="F10" s="110">
        <v>100</v>
      </c>
      <c r="G10" s="110"/>
      <c r="H10" s="254">
        <v>26.7671</v>
      </c>
      <c r="I10" s="254"/>
      <c r="J10" s="255">
        <v>0.13</v>
      </c>
      <c r="K10" s="110">
        <v>27.69</v>
      </c>
    </row>
    <row r="11" spans="1:11" s="7" customFormat="1" ht="12.75">
      <c r="A11" s="85" t="s">
        <v>48</v>
      </c>
      <c r="B11" s="86" t="s">
        <v>174</v>
      </c>
      <c r="C11" s="109" t="str">
        <f t="shared" si="0"/>
        <v>2 lat/a od dnia zakupu</v>
      </c>
      <c r="D11" s="109">
        <v>36586</v>
      </c>
      <c r="E11" s="109">
        <v>36616</v>
      </c>
      <c r="F11" s="110">
        <v>100</v>
      </c>
      <c r="G11" s="110"/>
      <c r="H11" s="254">
        <v>83.14</v>
      </c>
      <c r="I11" s="254"/>
      <c r="J11" s="255">
        <v>0.14</v>
      </c>
      <c r="K11" s="110">
        <v>29.96</v>
      </c>
    </row>
    <row r="12" spans="1:11" s="7" customFormat="1" ht="12.75">
      <c r="A12" s="85" t="s">
        <v>123</v>
      </c>
      <c r="B12" s="86" t="s">
        <v>175</v>
      </c>
      <c r="C12" s="109" t="str">
        <f t="shared" si="0"/>
        <v>2 lat/a od dnia zakupu</v>
      </c>
      <c r="D12" s="109">
        <v>36619</v>
      </c>
      <c r="E12" s="109">
        <v>36644</v>
      </c>
      <c r="F12" s="110">
        <v>100</v>
      </c>
      <c r="G12" s="110"/>
      <c r="H12" s="254">
        <v>22.6294</v>
      </c>
      <c r="I12" s="254"/>
      <c r="J12" s="255">
        <v>0.14</v>
      </c>
      <c r="K12" s="110">
        <v>29.96</v>
      </c>
    </row>
    <row r="13" spans="1:11" s="7" customFormat="1" ht="12.75">
      <c r="A13" s="85" t="s">
        <v>124</v>
      </c>
      <c r="B13" s="86" t="s">
        <v>176</v>
      </c>
      <c r="C13" s="109" t="str">
        <f t="shared" si="0"/>
        <v>2 lat/a od dnia zakupu</v>
      </c>
      <c r="D13" s="109">
        <v>36650</v>
      </c>
      <c r="E13" s="109">
        <v>36677</v>
      </c>
      <c r="F13" s="110">
        <v>100</v>
      </c>
      <c r="G13" s="110"/>
      <c r="H13" s="254">
        <v>54.302</v>
      </c>
      <c r="I13" s="254"/>
      <c r="J13" s="255">
        <v>0.15</v>
      </c>
      <c r="K13" s="110">
        <v>32.25</v>
      </c>
    </row>
    <row r="14" spans="1:11" s="7" customFormat="1" ht="12.75">
      <c r="A14" s="85" t="s">
        <v>215</v>
      </c>
      <c r="B14" s="86" t="s">
        <v>217</v>
      </c>
      <c r="C14" s="109" t="str">
        <f t="shared" si="0"/>
        <v>2 lat/a od dnia zakupu</v>
      </c>
      <c r="D14" s="109">
        <v>36678</v>
      </c>
      <c r="E14" s="109">
        <v>36707</v>
      </c>
      <c r="F14" s="110">
        <v>100</v>
      </c>
      <c r="G14" s="110"/>
      <c r="H14" s="254">
        <v>31.552</v>
      </c>
      <c r="I14" s="254"/>
      <c r="J14" s="255">
        <v>0.15</v>
      </c>
      <c r="K14" s="110">
        <v>32.25</v>
      </c>
    </row>
    <row r="15" spans="1:11" s="7" customFormat="1" ht="12.75">
      <c r="A15" s="85" t="s">
        <v>216</v>
      </c>
      <c r="B15" s="86" t="s">
        <v>218</v>
      </c>
      <c r="C15" s="109" t="str">
        <f t="shared" si="0"/>
        <v>2 lat/a od dnia zakupu</v>
      </c>
      <c r="D15" s="109">
        <v>36710</v>
      </c>
      <c r="E15" s="109">
        <v>36738</v>
      </c>
      <c r="F15" s="110">
        <v>100</v>
      </c>
      <c r="G15" s="110"/>
      <c r="H15" s="254">
        <v>300</v>
      </c>
      <c r="I15" s="254"/>
      <c r="J15" s="255">
        <v>0.16</v>
      </c>
      <c r="K15" s="110">
        <v>34.56</v>
      </c>
    </row>
    <row r="16" spans="1:11" s="7" customFormat="1" ht="12.75">
      <c r="A16" s="85" t="s">
        <v>223</v>
      </c>
      <c r="B16" s="86" t="s">
        <v>224</v>
      </c>
      <c r="C16" s="109" t="str">
        <f t="shared" si="0"/>
        <v>2 lat/a od dnia zakupu</v>
      </c>
      <c r="D16" s="109">
        <v>36739</v>
      </c>
      <c r="E16" s="109">
        <v>36769</v>
      </c>
      <c r="F16" s="110">
        <v>100</v>
      </c>
      <c r="G16" s="110"/>
      <c r="H16" s="254">
        <v>225.3729</v>
      </c>
      <c r="I16" s="254"/>
      <c r="J16" s="255">
        <v>0.16</v>
      </c>
      <c r="K16" s="110">
        <v>34.56</v>
      </c>
    </row>
    <row r="17" spans="1:11" s="7" customFormat="1" ht="12.75">
      <c r="A17" s="85" t="s">
        <v>226</v>
      </c>
      <c r="B17" s="86" t="s">
        <v>230</v>
      </c>
      <c r="C17" s="109" t="str">
        <f t="shared" si="0"/>
        <v>2 lat/a od dnia zakupu</v>
      </c>
      <c r="D17" s="109">
        <v>36770</v>
      </c>
      <c r="E17" s="109">
        <v>36798</v>
      </c>
      <c r="F17" s="110">
        <v>100</v>
      </c>
      <c r="G17" s="110"/>
      <c r="H17" s="254">
        <v>53.0136</v>
      </c>
      <c r="I17" s="254"/>
      <c r="J17" s="255">
        <v>0.16</v>
      </c>
      <c r="K17" s="110">
        <v>34.56</v>
      </c>
    </row>
    <row r="18" spans="1:11" s="7" customFormat="1" ht="12.75">
      <c r="A18" s="85" t="s">
        <v>233</v>
      </c>
      <c r="B18" s="86" t="s">
        <v>234</v>
      </c>
      <c r="C18" s="109" t="str">
        <f t="shared" si="0"/>
        <v>2 lat/a od dnia zakupu</v>
      </c>
      <c r="D18" s="109">
        <v>36801</v>
      </c>
      <c r="E18" s="109">
        <v>36830</v>
      </c>
      <c r="F18" s="110">
        <v>100</v>
      </c>
      <c r="G18" s="110"/>
      <c r="H18" s="254">
        <v>101.1465</v>
      </c>
      <c r="I18" s="254"/>
      <c r="J18" s="255">
        <v>0.16</v>
      </c>
      <c r="K18" s="110">
        <v>34.56</v>
      </c>
    </row>
    <row r="19" spans="1:11" s="7" customFormat="1" ht="12.75">
      <c r="A19" s="85" t="s">
        <v>237</v>
      </c>
      <c r="B19" s="86" t="s">
        <v>239</v>
      </c>
      <c r="C19" s="109" t="str">
        <f t="shared" si="0"/>
        <v>2 lat/a od dnia zakupu</v>
      </c>
      <c r="D19" s="109">
        <v>36832</v>
      </c>
      <c r="E19" s="109">
        <v>36860</v>
      </c>
      <c r="F19" s="110">
        <v>100</v>
      </c>
      <c r="G19" s="110"/>
      <c r="H19" s="254">
        <v>79.5088</v>
      </c>
      <c r="I19" s="254"/>
      <c r="J19" s="255">
        <v>0.16</v>
      </c>
      <c r="K19" s="110">
        <v>34.56</v>
      </c>
    </row>
    <row r="20" spans="1:11" s="7" customFormat="1" ht="12.75">
      <c r="A20" s="90" t="s">
        <v>243</v>
      </c>
      <c r="B20" s="91" t="s">
        <v>246</v>
      </c>
      <c r="C20" s="111" t="str">
        <f t="shared" si="0"/>
        <v>2 lat/a od dnia zakupu</v>
      </c>
      <c r="D20" s="111">
        <v>36861</v>
      </c>
      <c r="E20" s="111">
        <v>36889</v>
      </c>
      <c r="F20" s="112">
        <v>100</v>
      </c>
      <c r="G20" s="121"/>
      <c r="H20" s="256">
        <v>102.316</v>
      </c>
      <c r="I20" s="256"/>
      <c r="J20" s="257">
        <v>0.16</v>
      </c>
      <c r="K20" s="121">
        <v>34.56</v>
      </c>
    </row>
    <row r="21" spans="1:11" s="7" customFormat="1" ht="12.75">
      <c r="A21" s="85" t="s">
        <v>244</v>
      </c>
      <c r="B21" s="86" t="s">
        <v>247</v>
      </c>
      <c r="C21" s="109" t="str">
        <f t="shared" si="0"/>
        <v>2 lat/a od dnia zakupu</v>
      </c>
      <c r="D21" s="109">
        <v>36893</v>
      </c>
      <c r="E21" s="109">
        <v>36922</v>
      </c>
      <c r="F21" s="110">
        <v>100</v>
      </c>
      <c r="G21" s="119"/>
      <c r="H21" s="258">
        <v>215.7378</v>
      </c>
      <c r="I21" s="258"/>
      <c r="J21" s="259">
        <v>0.16</v>
      </c>
      <c r="K21" s="119">
        <v>34.56</v>
      </c>
    </row>
    <row r="22" spans="1:11" s="7" customFormat="1" ht="12.75">
      <c r="A22" s="85" t="s">
        <v>245</v>
      </c>
      <c r="B22" s="86" t="s">
        <v>254</v>
      </c>
      <c r="C22" s="109" t="str">
        <f t="shared" si="0"/>
        <v>2 lat/a od dnia zakupu</v>
      </c>
      <c r="D22" s="109">
        <v>36923</v>
      </c>
      <c r="E22" s="109">
        <v>36950</v>
      </c>
      <c r="F22" s="110">
        <v>100</v>
      </c>
      <c r="G22" s="110"/>
      <c r="H22" s="254">
        <v>289.5616</v>
      </c>
      <c r="I22" s="254"/>
      <c r="J22" s="255">
        <v>0.16</v>
      </c>
      <c r="K22" s="110">
        <v>34.56</v>
      </c>
    </row>
    <row r="23" spans="1:11" s="7" customFormat="1" ht="12.75">
      <c r="A23" s="85" t="s">
        <v>255</v>
      </c>
      <c r="B23" s="86" t="s">
        <v>265</v>
      </c>
      <c r="C23" s="109" t="str">
        <f t="shared" si="0"/>
        <v>2 lat/a od dnia zakupu</v>
      </c>
      <c r="D23" s="109">
        <v>36951</v>
      </c>
      <c r="E23" s="109">
        <v>36980</v>
      </c>
      <c r="F23" s="110">
        <v>100</v>
      </c>
      <c r="G23" s="110"/>
      <c r="H23" s="254">
        <v>136.9644</v>
      </c>
      <c r="I23" s="254"/>
      <c r="J23" s="255">
        <v>0.15</v>
      </c>
      <c r="K23" s="110">
        <v>32.25</v>
      </c>
    </row>
    <row r="24" spans="1:11" s="7" customFormat="1" ht="12.75">
      <c r="A24" s="85" t="s">
        <v>256</v>
      </c>
      <c r="B24" s="86" t="s">
        <v>262</v>
      </c>
      <c r="C24" s="109" t="str">
        <f t="shared" si="0"/>
        <v>2 lat/a od dnia zakupu</v>
      </c>
      <c r="D24" s="109">
        <v>36983</v>
      </c>
      <c r="E24" s="109">
        <v>37011</v>
      </c>
      <c r="F24" s="110">
        <v>100</v>
      </c>
      <c r="G24" s="110"/>
      <c r="H24" s="254">
        <v>219.9854</v>
      </c>
      <c r="I24" s="254"/>
      <c r="J24" s="255">
        <v>0.15</v>
      </c>
      <c r="K24" s="110">
        <v>32.25</v>
      </c>
    </row>
    <row r="25" spans="1:11" s="7" customFormat="1" ht="12.75">
      <c r="A25" s="85" t="s">
        <v>257</v>
      </c>
      <c r="B25" s="86" t="s">
        <v>278</v>
      </c>
      <c r="C25" s="109" t="str">
        <f t="shared" si="0"/>
        <v>2 lat/a od dnia zakupu</v>
      </c>
      <c r="D25" s="109">
        <v>37015</v>
      </c>
      <c r="E25" s="109">
        <v>37042</v>
      </c>
      <c r="F25" s="110">
        <v>100</v>
      </c>
      <c r="G25" s="110"/>
      <c r="H25" s="254">
        <v>275.0051</v>
      </c>
      <c r="I25" s="254"/>
      <c r="J25" s="255">
        <v>0.15</v>
      </c>
      <c r="K25" s="110">
        <v>32.25</v>
      </c>
    </row>
    <row r="26" spans="1:11" s="7" customFormat="1" ht="12.75">
      <c r="A26" s="85" t="s">
        <v>268</v>
      </c>
      <c r="B26" s="86" t="s">
        <v>275</v>
      </c>
      <c r="C26" s="109" t="str">
        <f t="shared" si="0"/>
        <v>2 lat/a od dnia zakupu</v>
      </c>
      <c r="D26" s="109">
        <v>37043</v>
      </c>
      <c r="E26" s="109">
        <v>37071</v>
      </c>
      <c r="F26" s="110">
        <v>100</v>
      </c>
      <c r="G26" s="110"/>
      <c r="H26" s="254">
        <v>335.6856</v>
      </c>
      <c r="I26" s="254"/>
      <c r="J26" s="255">
        <v>0.15</v>
      </c>
      <c r="K26" s="119">
        <v>32.25</v>
      </c>
    </row>
    <row r="27" spans="1:11" s="7" customFormat="1" ht="12.75">
      <c r="A27" s="85" t="s">
        <v>271</v>
      </c>
      <c r="B27" s="86" t="s">
        <v>272</v>
      </c>
      <c r="C27" s="109" t="str">
        <f t="shared" si="0"/>
        <v>2 lat/a od dnia zakupu</v>
      </c>
      <c r="D27" s="109">
        <v>37074</v>
      </c>
      <c r="E27" s="109">
        <v>37103</v>
      </c>
      <c r="F27" s="110">
        <v>100</v>
      </c>
      <c r="G27" s="110"/>
      <c r="H27" s="254">
        <v>491.5932</v>
      </c>
      <c r="I27" s="254"/>
      <c r="J27" s="255">
        <v>0.15</v>
      </c>
      <c r="K27" s="119">
        <v>32.25</v>
      </c>
    </row>
    <row r="28" spans="1:11" s="7" customFormat="1" ht="12.75">
      <c r="A28" s="85" t="s">
        <v>286</v>
      </c>
      <c r="B28" s="86" t="s">
        <v>292</v>
      </c>
      <c r="C28" s="109" t="str">
        <f t="shared" si="0"/>
        <v>2 lat/a od dnia zakupu</v>
      </c>
      <c r="D28" s="109">
        <v>37104</v>
      </c>
      <c r="E28" s="109">
        <v>37134</v>
      </c>
      <c r="F28" s="110">
        <v>100</v>
      </c>
      <c r="G28" s="110"/>
      <c r="H28" s="254">
        <v>500</v>
      </c>
      <c r="I28" s="254"/>
      <c r="J28" s="255">
        <v>0.15</v>
      </c>
      <c r="K28" s="119">
        <v>32.25</v>
      </c>
    </row>
    <row r="29" spans="1:11" s="7" customFormat="1" ht="12.75">
      <c r="A29" s="85" t="s">
        <v>287</v>
      </c>
      <c r="B29" s="86" t="s">
        <v>283</v>
      </c>
      <c r="C29" s="109" t="str">
        <f t="shared" si="0"/>
        <v>2 lat/a od dnia zakupu</v>
      </c>
      <c r="D29" s="109">
        <v>37137</v>
      </c>
      <c r="E29" s="109">
        <v>37162</v>
      </c>
      <c r="F29" s="110">
        <v>100</v>
      </c>
      <c r="G29" s="110"/>
      <c r="H29" s="254">
        <v>500</v>
      </c>
      <c r="I29" s="254"/>
      <c r="J29" s="255">
        <v>0.145</v>
      </c>
      <c r="K29" s="119">
        <v>31.1</v>
      </c>
    </row>
    <row r="30" spans="1:11" s="7" customFormat="1" ht="12.75">
      <c r="A30" s="85" t="s">
        <v>288</v>
      </c>
      <c r="B30" s="86" t="s">
        <v>282</v>
      </c>
      <c r="C30" s="109" t="str">
        <f t="shared" si="0"/>
        <v>2 lat/a od dnia zakupu</v>
      </c>
      <c r="D30" s="109">
        <v>37165</v>
      </c>
      <c r="E30" s="109">
        <v>37195</v>
      </c>
      <c r="F30" s="110">
        <v>100</v>
      </c>
      <c r="G30" s="110"/>
      <c r="H30" s="254">
        <v>500</v>
      </c>
      <c r="I30" s="254"/>
      <c r="J30" s="255">
        <v>0.135</v>
      </c>
      <c r="K30" s="119">
        <v>28.82</v>
      </c>
    </row>
    <row r="31" spans="1:11" s="7" customFormat="1" ht="12.75">
      <c r="A31" s="85" t="s">
        <v>295</v>
      </c>
      <c r="B31" s="86" t="s">
        <v>297</v>
      </c>
      <c r="C31" s="109" t="str">
        <f t="shared" si="0"/>
        <v>2 lat/a od dnia zakupu</v>
      </c>
      <c r="D31" s="109">
        <v>37197</v>
      </c>
      <c r="E31" s="109">
        <v>37225</v>
      </c>
      <c r="F31" s="110">
        <v>100</v>
      </c>
      <c r="G31" s="110"/>
      <c r="H31" s="254">
        <v>500</v>
      </c>
      <c r="I31" s="254"/>
      <c r="J31" s="255">
        <v>0.12</v>
      </c>
      <c r="K31" s="119">
        <v>25.44</v>
      </c>
    </row>
    <row r="32" spans="1:11" s="7" customFormat="1" ht="12.75">
      <c r="A32" s="90" t="s">
        <v>296</v>
      </c>
      <c r="B32" s="91" t="s">
        <v>298</v>
      </c>
      <c r="C32" s="111" t="str">
        <f t="shared" si="0"/>
        <v>2 lat/a od dnia zakupu</v>
      </c>
      <c r="D32" s="111">
        <v>37228</v>
      </c>
      <c r="E32" s="111">
        <v>37256</v>
      </c>
      <c r="F32" s="112">
        <v>100</v>
      </c>
      <c r="G32" s="121"/>
      <c r="H32" s="256">
        <v>125.3325</v>
      </c>
      <c r="I32" s="256"/>
      <c r="J32" s="257">
        <v>0.1</v>
      </c>
      <c r="K32" s="121">
        <v>21</v>
      </c>
    </row>
    <row r="33" spans="1:11" s="7" customFormat="1" ht="12.75">
      <c r="A33" s="85" t="s">
        <v>311</v>
      </c>
      <c r="B33" s="86" t="s">
        <v>314</v>
      </c>
      <c r="C33" s="109" t="str">
        <f t="shared" si="0"/>
        <v>2 lat/a od dnia zakupu</v>
      </c>
      <c r="D33" s="109">
        <v>37258</v>
      </c>
      <c r="E33" s="109">
        <v>37287</v>
      </c>
      <c r="F33" s="110">
        <v>100</v>
      </c>
      <c r="G33" s="119"/>
      <c r="H33" s="258">
        <v>302.0562</v>
      </c>
      <c r="I33" s="258"/>
      <c r="J33" s="259">
        <v>0.1</v>
      </c>
      <c r="K33" s="119">
        <v>21</v>
      </c>
    </row>
    <row r="34" spans="1:11" s="7" customFormat="1" ht="12.75">
      <c r="A34" s="85" t="s">
        <v>312</v>
      </c>
      <c r="B34" s="86" t="s">
        <v>315</v>
      </c>
      <c r="C34" s="109" t="str">
        <f t="shared" si="0"/>
        <v>2 lat/a od dnia zakupu</v>
      </c>
      <c r="D34" s="109">
        <v>37288</v>
      </c>
      <c r="E34" s="109">
        <v>37315</v>
      </c>
      <c r="F34" s="110">
        <v>100</v>
      </c>
      <c r="G34" s="110"/>
      <c r="H34" s="254">
        <v>174.6753</v>
      </c>
      <c r="I34" s="254"/>
      <c r="J34" s="255">
        <v>0.09</v>
      </c>
      <c r="K34" s="119">
        <v>18.81</v>
      </c>
    </row>
    <row r="35" spans="1:11" s="7" customFormat="1" ht="12.75">
      <c r="A35" s="85" t="s">
        <v>313</v>
      </c>
      <c r="B35" s="86" t="s">
        <v>316</v>
      </c>
      <c r="C35" s="109" t="str">
        <f t="shared" si="0"/>
        <v>2 lat/a od dnia zakupu</v>
      </c>
      <c r="D35" s="109">
        <v>37316</v>
      </c>
      <c r="E35" s="109">
        <v>37346</v>
      </c>
      <c r="F35" s="110">
        <v>100</v>
      </c>
      <c r="G35" s="110"/>
      <c r="H35" s="254">
        <v>178.6678</v>
      </c>
      <c r="I35" s="254"/>
      <c r="J35" s="255">
        <v>0.09</v>
      </c>
      <c r="K35" s="119">
        <v>18.81</v>
      </c>
    </row>
    <row r="36" spans="1:11" s="7" customFormat="1" ht="12.75">
      <c r="A36" s="85" t="s">
        <v>324</v>
      </c>
      <c r="B36" s="86" t="s">
        <v>325</v>
      </c>
      <c r="C36" s="109" t="str">
        <f t="shared" si="0"/>
        <v>2 lat/a od dnia zakupu</v>
      </c>
      <c r="D36" s="109">
        <v>37348</v>
      </c>
      <c r="E36" s="109">
        <v>37376</v>
      </c>
      <c r="F36" s="110">
        <v>100</v>
      </c>
      <c r="G36" s="110"/>
      <c r="H36" s="254">
        <v>112.6021</v>
      </c>
      <c r="I36" s="254"/>
      <c r="J36" s="255">
        <v>0.085</v>
      </c>
      <c r="K36" s="119">
        <v>17.72</v>
      </c>
    </row>
    <row r="37" spans="1:11" s="7" customFormat="1" ht="12.75">
      <c r="A37" s="85" t="s">
        <v>330</v>
      </c>
      <c r="B37" s="86" t="s">
        <v>331</v>
      </c>
      <c r="C37" s="109" t="str">
        <f t="shared" si="0"/>
        <v>2 lat/a od dnia zakupu</v>
      </c>
      <c r="D37" s="109">
        <v>37382</v>
      </c>
      <c r="E37" s="109">
        <v>37407</v>
      </c>
      <c r="F37" s="110">
        <v>100</v>
      </c>
      <c r="G37" s="110"/>
      <c r="H37" s="254">
        <v>142.6429</v>
      </c>
      <c r="I37" s="254"/>
      <c r="J37" s="255">
        <v>0.085</v>
      </c>
      <c r="K37" s="119">
        <v>17.72</v>
      </c>
    </row>
    <row r="38" spans="1:11" s="7" customFormat="1" ht="12.75">
      <c r="A38" s="85" t="s">
        <v>334</v>
      </c>
      <c r="B38" s="86" t="s">
        <v>335</v>
      </c>
      <c r="C38" s="109" t="str">
        <f t="shared" si="0"/>
        <v>2 lat/a od dnia zakupu</v>
      </c>
      <c r="D38" s="109">
        <v>37410</v>
      </c>
      <c r="E38" s="109">
        <v>37435</v>
      </c>
      <c r="F38" s="110">
        <v>100</v>
      </c>
      <c r="G38" s="110"/>
      <c r="H38" s="254">
        <v>187.7787</v>
      </c>
      <c r="I38" s="254"/>
      <c r="J38" s="255">
        <v>0.085</v>
      </c>
      <c r="K38" s="119">
        <v>17.72</v>
      </c>
    </row>
    <row r="39" spans="1:11" s="7" customFormat="1" ht="12.75">
      <c r="A39" s="85" t="s">
        <v>344</v>
      </c>
      <c r="B39" s="86" t="s">
        <v>345</v>
      </c>
      <c r="C39" s="109" t="str">
        <f t="shared" si="0"/>
        <v>2 lat/a od dnia zakupu</v>
      </c>
      <c r="D39" s="109">
        <v>37438</v>
      </c>
      <c r="E39" s="109">
        <v>37468</v>
      </c>
      <c r="F39" s="110">
        <v>100</v>
      </c>
      <c r="G39" s="110"/>
      <c r="H39" s="254">
        <v>275.495</v>
      </c>
      <c r="I39" s="254"/>
      <c r="J39" s="255">
        <v>0.079</v>
      </c>
      <c r="K39" s="119">
        <v>16.42</v>
      </c>
    </row>
    <row r="40" spans="1:11" s="7" customFormat="1" ht="12.75">
      <c r="A40" s="85" t="s">
        <v>346</v>
      </c>
      <c r="B40" s="86" t="s">
        <v>347</v>
      </c>
      <c r="C40" s="109" t="str">
        <f t="shared" si="0"/>
        <v>2 lat/a od dnia zakupu</v>
      </c>
      <c r="D40" s="109">
        <v>37469</v>
      </c>
      <c r="E40" s="109">
        <v>37498</v>
      </c>
      <c r="F40" s="110">
        <v>100</v>
      </c>
      <c r="G40" s="110"/>
      <c r="H40" s="254">
        <v>291.0293</v>
      </c>
      <c r="I40" s="254"/>
      <c r="J40" s="255">
        <v>0.079</v>
      </c>
      <c r="K40" s="119">
        <v>16.42</v>
      </c>
    </row>
    <row r="41" spans="1:11" s="7" customFormat="1" ht="12.75">
      <c r="A41" s="85" t="s">
        <v>354</v>
      </c>
      <c r="B41" s="86" t="s">
        <v>356</v>
      </c>
      <c r="C41" s="109" t="str">
        <f t="shared" si="0"/>
        <v>2 lat/a od dnia zakupu</v>
      </c>
      <c r="D41" s="109">
        <v>37501</v>
      </c>
      <c r="E41" s="109">
        <v>37529</v>
      </c>
      <c r="F41" s="110">
        <v>100</v>
      </c>
      <c r="G41" s="110"/>
      <c r="H41" s="254">
        <v>216.9758</v>
      </c>
      <c r="I41" s="254"/>
      <c r="J41" s="255">
        <v>0.075</v>
      </c>
      <c r="K41" s="119">
        <v>15.56</v>
      </c>
    </row>
    <row r="42" spans="1:11" s="7" customFormat="1" ht="12.75">
      <c r="A42" s="85" t="s">
        <v>355</v>
      </c>
      <c r="B42" s="86" t="s">
        <v>357</v>
      </c>
      <c r="C42" s="109" t="str">
        <f t="shared" si="0"/>
        <v>2 lat/a od dnia zakupu</v>
      </c>
      <c r="D42" s="109">
        <v>37530</v>
      </c>
      <c r="E42" s="109">
        <v>37560</v>
      </c>
      <c r="F42" s="110">
        <v>100</v>
      </c>
      <c r="G42" s="110"/>
      <c r="H42" s="254">
        <v>191.6628</v>
      </c>
      <c r="I42" s="254"/>
      <c r="J42" s="255">
        <v>0.07</v>
      </c>
      <c r="K42" s="119">
        <v>14.49</v>
      </c>
    </row>
    <row r="43" spans="1:11" s="7" customFormat="1" ht="12.75">
      <c r="A43" s="85" t="s">
        <v>364</v>
      </c>
      <c r="B43" s="86" t="s">
        <v>366</v>
      </c>
      <c r="C43" s="109" t="str">
        <f t="shared" si="0"/>
        <v>2 lat/a od dnia zakupu</v>
      </c>
      <c r="D43" s="109">
        <v>37564</v>
      </c>
      <c r="E43" s="109">
        <v>37589</v>
      </c>
      <c r="F43" s="110">
        <v>100</v>
      </c>
      <c r="G43" s="110"/>
      <c r="H43" s="254">
        <v>374.2395</v>
      </c>
      <c r="I43" s="254"/>
      <c r="J43" s="255">
        <v>0.065</v>
      </c>
      <c r="K43" s="119">
        <v>13.42</v>
      </c>
    </row>
    <row r="44" spans="1:11" s="7" customFormat="1" ht="12.75">
      <c r="A44" s="90" t="s">
        <v>365</v>
      </c>
      <c r="B44" s="91" t="s">
        <v>367</v>
      </c>
      <c r="C44" s="111" t="str">
        <f t="shared" si="0"/>
        <v>2 lat/a od dnia zakupu</v>
      </c>
      <c r="D44" s="111">
        <v>37592</v>
      </c>
      <c r="E44" s="111">
        <v>37621</v>
      </c>
      <c r="F44" s="112">
        <v>100</v>
      </c>
      <c r="G44" s="121"/>
      <c r="H44" s="256">
        <v>213.5032</v>
      </c>
      <c r="I44" s="256"/>
      <c r="J44" s="257">
        <v>0.06</v>
      </c>
      <c r="K44" s="121">
        <v>12.36</v>
      </c>
    </row>
    <row r="45" spans="1:11" s="7" customFormat="1" ht="12.75">
      <c r="A45" s="85" t="s">
        <v>374</v>
      </c>
      <c r="B45" s="86" t="s">
        <v>378</v>
      </c>
      <c r="C45" s="109" t="str">
        <f t="shared" si="0"/>
        <v>2 lat/a od dnia zakupu</v>
      </c>
      <c r="D45" s="109">
        <v>37623</v>
      </c>
      <c r="E45" s="109">
        <v>37652</v>
      </c>
      <c r="F45" s="110">
        <v>100</v>
      </c>
      <c r="G45" s="119"/>
      <c r="H45" s="258">
        <v>139.5431</v>
      </c>
      <c r="I45" s="258"/>
      <c r="J45" s="259">
        <v>0.055</v>
      </c>
      <c r="K45" s="119">
        <v>11.3</v>
      </c>
    </row>
    <row r="46" spans="1:11" s="7" customFormat="1" ht="12.75">
      <c r="A46" s="85" t="s">
        <v>375</v>
      </c>
      <c r="B46" s="86" t="s">
        <v>379</v>
      </c>
      <c r="C46" s="109" t="str">
        <f t="shared" si="0"/>
        <v>2 lat/a od dnia zakupu</v>
      </c>
      <c r="D46" s="109">
        <v>37655</v>
      </c>
      <c r="E46" s="109">
        <v>37680</v>
      </c>
      <c r="F46" s="110">
        <v>100</v>
      </c>
      <c r="G46" s="110"/>
      <c r="H46" s="254">
        <v>161.8919</v>
      </c>
      <c r="I46" s="254"/>
      <c r="J46" s="255">
        <v>0.055</v>
      </c>
      <c r="K46" s="119">
        <v>11.3</v>
      </c>
    </row>
    <row r="47" spans="1:11" ht="12.75">
      <c r="A47" s="85" t="s">
        <v>382</v>
      </c>
      <c r="B47" s="86" t="s">
        <v>433</v>
      </c>
      <c r="C47" s="109" t="str">
        <f t="shared" si="0"/>
        <v>2 lat/a od dnia zakupu</v>
      </c>
      <c r="D47" s="109">
        <v>37683</v>
      </c>
      <c r="E47" s="109">
        <v>37711</v>
      </c>
      <c r="F47" s="110">
        <v>100</v>
      </c>
      <c r="G47" s="110"/>
      <c r="H47" s="254">
        <v>123.7019</v>
      </c>
      <c r="I47" s="254"/>
      <c r="J47" s="255">
        <v>0.055</v>
      </c>
      <c r="K47" s="119">
        <v>11.3</v>
      </c>
    </row>
    <row r="48" spans="1:11" ht="12.75">
      <c r="A48" s="85" t="s">
        <v>383</v>
      </c>
      <c r="B48" s="86" t="s">
        <v>446</v>
      </c>
      <c r="C48" s="109" t="str">
        <f t="shared" si="0"/>
        <v>2 lat/a od dnia zakupu</v>
      </c>
      <c r="D48" s="109">
        <v>37712</v>
      </c>
      <c r="E48" s="109">
        <v>37741</v>
      </c>
      <c r="F48" s="110">
        <v>100</v>
      </c>
      <c r="G48" s="110"/>
      <c r="H48" s="254">
        <v>153.327</v>
      </c>
      <c r="I48" s="254"/>
      <c r="J48" s="255">
        <v>0.055</v>
      </c>
      <c r="K48" s="119">
        <v>11.3</v>
      </c>
    </row>
    <row r="49" spans="1:11" ht="12.75">
      <c r="A49" s="85" t="s">
        <v>393</v>
      </c>
      <c r="B49" s="86" t="s">
        <v>434</v>
      </c>
      <c r="C49" s="109" t="str">
        <f t="shared" si="0"/>
        <v>2 lat/a od dnia zakupu</v>
      </c>
      <c r="D49" s="109">
        <v>37746</v>
      </c>
      <c r="E49" s="109">
        <v>37771</v>
      </c>
      <c r="F49" s="110">
        <v>100</v>
      </c>
      <c r="G49" s="110"/>
      <c r="H49" s="254">
        <v>200.6967</v>
      </c>
      <c r="I49" s="254"/>
      <c r="J49" s="255">
        <v>0.0525</v>
      </c>
      <c r="K49" s="119">
        <v>10.78</v>
      </c>
    </row>
    <row r="50" spans="1:11" ht="12.75">
      <c r="A50" s="85" t="s">
        <v>394</v>
      </c>
      <c r="B50" s="86" t="s">
        <v>435</v>
      </c>
      <c r="C50" s="109" t="str">
        <f t="shared" si="0"/>
        <v>2 lat/a od dnia zakupu</v>
      </c>
      <c r="D50" s="109">
        <v>37774</v>
      </c>
      <c r="E50" s="109">
        <v>37802</v>
      </c>
      <c r="F50" s="110">
        <v>100</v>
      </c>
      <c r="G50" s="110"/>
      <c r="H50" s="254">
        <v>136.754</v>
      </c>
      <c r="I50" s="254"/>
      <c r="J50" s="255">
        <v>0.0475</v>
      </c>
      <c r="K50" s="119">
        <v>9.73</v>
      </c>
    </row>
    <row r="51" spans="1:11" ht="12.75">
      <c r="A51" s="85" t="s">
        <v>395</v>
      </c>
      <c r="B51" s="86" t="s">
        <v>436</v>
      </c>
      <c r="C51" s="109" t="str">
        <f t="shared" si="0"/>
        <v>2 lat/a od dnia zakupu</v>
      </c>
      <c r="D51" s="109">
        <v>37803</v>
      </c>
      <c r="E51" s="109">
        <v>37827</v>
      </c>
      <c r="F51" s="110">
        <v>100</v>
      </c>
      <c r="G51" s="110"/>
      <c r="H51" s="254">
        <v>140.2524</v>
      </c>
      <c r="I51" s="254"/>
      <c r="J51" s="255">
        <v>0.0475</v>
      </c>
      <c r="K51" s="119">
        <v>9.73</v>
      </c>
    </row>
    <row r="52" spans="1:11" ht="12.75">
      <c r="A52" s="85" t="s">
        <v>396</v>
      </c>
      <c r="B52" s="86" t="s">
        <v>437</v>
      </c>
      <c r="C52" s="109" t="str">
        <f t="shared" si="0"/>
        <v>2 lat/a od dnia zakupu</v>
      </c>
      <c r="D52" s="109">
        <v>37834</v>
      </c>
      <c r="E52" s="109">
        <v>37863</v>
      </c>
      <c r="F52" s="110">
        <v>100</v>
      </c>
      <c r="G52" s="110"/>
      <c r="H52" s="254">
        <v>432.3599</v>
      </c>
      <c r="I52" s="254"/>
      <c r="J52" s="255">
        <v>0.0475</v>
      </c>
      <c r="K52" s="119">
        <v>9.73</v>
      </c>
    </row>
    <row r="53" spans="1:11" ht="12.75">
      <c r="A53" s="85" t="s">
        <v>402</v>
      </c>
      <c r="B53" s="86" t="s">
        <v>438</v>
      </c>
      <c r="C53" s="109" t="str">
        <f t="shared" si="0"/>
        <v>2 lat/a od dnia zakupu</v>
      </c>
      <c r="D53" s="109">
        <v>37865</v>
      </c>
      <c r="E53" s="109">
        <v>37894</v>
      </c>
      <c r="F53" s="110">
        <v>100</v>
      </c>
      <c r="G53" s="110"/>
      <c r="H53" s="254">
        <v>367.4694</v>
      </c>
      <c r="I53" s="254"/>
      <c r="J53" s="255">
        <v>0.0475</v>
      </c>
      <c r="K53" s="119">
        <v>9.73</v>
      </c>
    </row>
    <row r="54" spans="1:11" ht="12.75">
      <c r="A54" s="85" t="s">
        <v>403</v>
      </c>
      <c r="B54" s="86" t="s">
        <v>439</v>
      </c>
      <c r="C54" s="109" t="str">
        <f t="shared" si="0"/>
        <v>2 lat/a od dnia zakupu</v>
      </c>
      <c r="D54" s="109">
        <v>37895</v>
      </c>
      <c r="E54" s="109">
        <v>37925</v>
      </c>
      <c r="F54" s="110">
        <v>100</v>
      </c>
      <c r="G54" s="110"/>
      <c r="H54" s="254">
        <v>236.7345</v>
      </c>
      <c r="I54" s="254"/>
      <c r="J54" s="255">
        <v>0.0475</v>
      </c>
      <c r="K54" s="119">
        <v>9.73</v>
      </c>
    </row>
    <row r="55" spans="1:11" ht="12.75">
      <c r="A55" s="85" t="s">
        <v>407</v>
      </c>
      <c r="B55" s="86" t="s">
        <v>440</v>
      </c>
      <c r="C55" s="109" t="str">
        <f t="shared" si="0"/>
        <v>2 lat/a od dnia zakupu</v>
      </c>
      <c r="D55" s="109">
        <v>37928</v>
      </c>
      <c r="E55" s="109">
        <v>37954</v>
      </c>
      <c r="F55" s="110">
        <v>100</v>
      </c>
      <c r="G55" s="110"/>
      <c r="H55" s="254">
        <v>595.5611</v>
      </c>
      <c r="I55" s="254"/>
      <c r="J55" s="255">
        <v>0.054</v>
      </c>
      <c r="K55" s="119">
        <v>11.09</v>
      </c>
    </row>
    <row r="56" spans="1:11" ht="12.75">
      <c r="A56" s="90" t="s">
        <v>408</v>
      </c>
      <c r="B56" s="91" t="s">
        <v>441</v>
      </c>
      <c r="C56" s="111" t="str">
        <f t="shared" si="0"/>
        <v>2 lat/a od dnia zakupu</v>
      </c>
      <c r="D56" s="111">
        <v>37956</v>
      </c>
      <c r="E56" s="111">
        <v>37986</v>
      </c>
      <c r="F56" s="112">
        <v>100</v>
      </c>
      <c r="G56" s="121"/>
      <c r="H56" s="256">
        <v>1208.1373</v>
      </c>
      <c r="I56" s="256"/>
      <c r="J56" s="257">
        <v>0.06</v>
      </c>
      <c r="K56" s="121">
        <v>12.36</v>
      </c>
    </row>
    <row r="57" spans="1:11" ht="12.75">
      <c r="A57" s="85" t="s">
        <v>424</v>
      </c>
      <c r="B57" s="86" t="s">
        <v>442</v>
      </c>
      <c r="C57" s="109" t="str">
        <f t="shared" si="0"/>
        <v>2 lat/a od dnia zakupu</v>
      </c>
      <c r="D57" s="109">
        <v>37988</v>
      </c>
      <c r="E57" s="109">
        <v>38017</v>
      </c>
      <c r="F57" s="110">
        <v>100</v>
      </c>
      <c r="G57" s="119"/>
      <c r="H57" s="258">
        <v>724.623</v>
      </c>
      <c r="I57" s="258"/>
      <c r="J57" s="259">
        <v>0.06</v>
      </c>
      <c r="K57" s="119">
        <v>12.36</v>
      </c>
    </row>
    <row r="58" spans="1:11" ht="12.75">
      <c r="A58" s="85" t="s">
        <v>425</v>
      </c>
      <c r="B58" s="86" t="s">
        <v>443</v>
      </c>
      <c r="C58" s="109" t="str">
        <f t="shared" si="0"/>
        <v>2 lat/a od dnia zakupu</v>
      </c>
      <c r="D58" s="109">
        <v>38019</v>
      </c>
      <c r="E58" s="109">
        <v>38045</v>
      </c>
      <c r="F58" s="110">
        <v>100</v>
      </c>
      <c r="G58" s="110"/>
      <c r="H58" s="254">
        <v>545.0595</v>
      </c>
      <c r="I58" s="254"/>
      <c r="J58" s="255">
        <v>0.06</v>
      </c>
      <c r="K58" s="119">
        <v>12.36</v>
      </c>
    </row>
    <row r="59" spans="1:11" ht="12.75">
      <c r="A59" s="85" t="s">
        <v>426</v>
      </c>
      <c r="B59" s="86" t="s">
        <v>444</v>
      </c>
      <c r="C59" s="109" t="str">
        <f t="shared" si="0"/>
        <v>2 lat/a od dnia zakupu</v>
      </c>
      <c r="D59" s="109">
        <v>38047</v>
      </c>
      <c r="E59" s="109">
        <v>38077</v>
      </c>
      <c r="F59" s="110">
        <v>100</v>
      </c>
      <c r="G59" s="110"/>
      <c r="H59" s="254">
        <v>488.7094</v>
      </c>
      <c r="I59" s="254"/>
      <c r="J59" s="255">
        <v>0.06</v>
      </c>
      <c r="K59" s="119">
        <v>12.36</v>
      </c>
    </row>
    <row r="60" spans="1:11" ht="12.75">
      <c r="A60" s="85" t="s">
        <v>427</v>
      </c>
      <c r="B60" s="86" t="s">
        <v>445</v>
      </c>
      <c r="C60" s="109" t="str">
        <f t="shared" si="0"/>
        <v>2 lat/a od dnia zakupu</v>
      </c>
      <c r="D60" s="109">
        <v>38078</v>
      </c>
      <c r="E60" s="109">
        <v>38107</v>
      </c>
      <c r="F60" s="110">
        <v>100</v>
      </c>
      <c r="G60" s="110"/>
      <c r="H60" s="254">
        <v>252.9048</v>
      </c>
      <c r="I60" s="254"/>
      <c r="J60" s="255">
        <v>0.06</v>
      </c>
      <c r="K60" s="119">
        <v>12.36</v>
      </c>
    </row>
    <row r="61" spans="1:11" ht="12.75">
      <c r="A61" s="85" t="s">
        <v>456</v>
      </c>
      <c r="B61" s="86" t="s">
        <v>457</v>
      </c>
      <c r="C61" s="109" t="str">
        <f t="shared" si="0"/>
        <v>2 lat/a od dnia zakupu</v>
      </c>
      <c r="D61" s="109">
        <v>38111</v>
      </c>
      <c r="E61" s="109">
        <v>38138</v>
      </c>
      <c r="F61" s="110">
        <v>100</v>
      </c>
      <c r="G61" s="110"/>
      <c r="H61" s="254">
        <v>273.0031</v>
      </c>
      <c r="I61" s="254"/>
      <c r="J61" s="255">
        <v>0.0625</v>
      </c>
      <c r="K61" s="119">
        <v>12.89</v>
      </c>
    </row>
    <row r="62" spans="1:11" ht="12.75">
      <c r="A62" s="85" t="s">
        <v>464</v>
      </c>
      <c r="B62" s="86" t="s">
        <v>466</v>
      </c>
      <c r="C62" s="109" t="str">
        <f t="shared" si="0"/>
        <v>2 lat/a od dnia zakupu</v>
      </c>
      <c r="D62" s="109">
        <v>38139</v>
      </c>
      <c r="E62" s="109">
        <v>38168</v>
      </c>
      <c r="F62" s="110">
        <v>100</v>
      </c>
      <c r="G62" s="110"/>
      <c r="H62" s="254">
        <v>506.4212</v>
      </c>
      <c r="I62" s="254"/>
      <c r="J62" s="255">
        <v>0.067</v>
      </c>
      <c r="K62" s="119">
        <v>13.85</v>
      </c>
    </row>
    <row r="63" spans="1:11" ht="12.75">
      <c r="A63" s="85" t="s">
        <v>465</v>
      </c>
      <c r="B63" s="86" t="s">
        <v>467</v>
      </c>
      <c r="C63" s="109" t="str">
        <f t="shared" si="0"/>
        <v>2 lat/a od dnia zakupu</v>
      </c>
      <c r="D63" s="109">
        <v>38169</v>
      </c>
      <c r="E63" s="109">
        <v>38198</v>
      </c>
      <c r="F63" s="110">
        <v>100</v>
      </c>
      <c r="G63" s="110"/>
      <c r="H63" s="254">
        <v>404.9948</v>
      </c>
      <c r="I63" s="254"/>
      <c r="J63" s="255">
        <v>0.067</v>
      </c>
      <c r="K63" s="119">
        <v>13.85</v>
      </c>
    </row>
    <row r="64" spans="1:11" ht="12.75">
      <c r="A64" s="85" t="s">
        <v>474</v>
      </c>
      <c r="B64" s="86" t="s">
        <v>475</v>
      </c>
      <c r="C64" s="109" t="str">
        <f t="shared" si="0"/>
        <v>2 lat/a od dnia zakupu</v>
      </c>
      <c r="D64" s="109">
        <v>38201</v>
      </c>
      <c r="E64" s="109">
        <v>38230</v>
      </c>
      <c r="F64" s="110">
        <v>100</v>
      </c>
      <c r="G64" s="110"/>
      <c r="H64" s="254">
        <v>668.9378</v>
      </c>
      <c r="I64" s="254"/>
      <c r="J64" s="255">
        <v>0.07</v>
      </c>
      <c r="K64" s="119">
        <v>14.49</v>
      </c>
    </row>
    <row r="65" spans="1:11" ht="12.75">
      <c r="A65" s="85" t="s">
        <v>480</v>
      </c>
      <c r="B65" s="86" t="s">
        <v>481</v>
      </c>
      <c r="C65" s="109" t="str">
        <f t="shared" si="0"/>
        <v>2 lat/a od dnia zakupu</v>
      </c>
      <c r="D65" s="109">
        <v>38231</v>
      </c>
      <c r="E65" s="109">
        <v>38260</v>
      </c>
      <c r="F65" s="110">
        <v>100</v>
      </c>
      <c r="G65" s="110"/>
      <c r="H65" s="254">
        <v>367.8051</v>
      </c>
      <c r="I65" s="254"/>
      <c r="J65" s="255">
        <v>0.07</v>
      </c>
      <c r="K65" s="119">
        <v>14.49</v>
      </c>
    </row>
    <row r="66" spans="1:11" ht="12.75">
      <c r="A66" s="85" t="s">
        <v>485</v>
      </c>
      <c r="B66" s="86" t="s">
        <v>486</v>
      </c>
      <c r="C66" s="109" t="str">
        <f t="shared" si="0"/>
        <v>2 lat/a od dnia zakupu</v>
      </c>
      <c r="D66" s="109">
        <v>38261</v>
      </c>
      <c r="E66" s="109">
        <v>38291</v>
      </c>
      <c r="F66" s="110">
        <v>100</v>
      </c>
      <c r="G66" s="110"/>
      <c r="H66" s="254">
        <v>348.38219999999995</v>
      </c>
      <c r="I66" s="254"/>
      <c r="J66" s="255">
        <v>0.07</v>
      </c>
      <c r="K66" s="119">
        <v>14.49</v>
      </c>
    </row>
    <row r="67" spans="1:11" ht="12.75">
      <c r="A67" s="85" t="s">
        <v>493</v>
      </c>
      <c r="B67" s="86" t="s">
        <v>494</v>
      </c>
      <c r="C67" s="109" t="str">
        <f t="shared" si="0"/>
        <v>2 lat/a od dnia zakupu</v>
      </c>
      <c r="D67" s="109">
        <v>38292</v>
      </c>
      <c r="E67" s="109">
        <v>38321</v>
      </c>
      <c r="F67" s="110">
        <v>100</v>
      </c>
      <c r="G67" s="110"/>
      <c r="H67" s="254">
        <v>347.6578</v>
      </c>
      <c r="I67" s="254"/>
      <c r="J67" s="255">
        <v>0.0675</v>
      </c>
      <c r="K67" s="119">
        <v>13.96</v>
      </c>
    </row>
    <row r="68" spans="1:11" ht="12.75">
      <c r="A68" s="90" t="s">
        <v>501</v>
      </c>
      <c r="B68" s="91" t="s">
        <v>502</v>
      </c>
      <c r="C68" s="111" t="str">
        <f aca="true" t="shared" si="1" ref="C68:C131">"2"&amp;WykupCOI</f>
        <v>2 lat/a od dnia zakupu</v>
      </c>
      <c r="D68" s="111">
        <v>38322</v>
      </c>
      <c r="E68" s="111">
        <v>38352</v>
      </c>
      <c r="F68" s="112">
        <v>100</v>
      </c>
      <c r="G68" s="121"/>
      <c r="H68" s="256">
        <v>368.4249</v>
      </c>
      <c r="I68" s="256"/>
      <c r="J68" s="257">
        <v>0.065</v>
      </c>
      <c r="K68" s="121">
        <v>13.42</v>
      </c>
    </row>
    <row r="69" spans="1:11" ht="12.75">
      <c r="A69" s="85" t="s">
        <v>510</v>
      </c>
      <c r="B69" s="86" t="s">
        <v>511</v>
      </c>
      <c r="C69" s="109" t="str">
        <f t="shared" si="1"/>
        <v>2 lat/a od dnia zakupu</v>
      </c>
      <c r="D69" s="109">
        <v>38355</v>
      </c>
      <c r="E69" s="109">
        <v>38383</v>
      </c>
      <c r="F69" s="110">
        <v>100</v>
      </c>
      <c r="G69" s="119"/>
      <c r="H69" s="258">
        <v>187.9877</v>
      </c>
      <c r="I69" s="258"/>
      <c r="J69" s="259">
        <v>0.061</v>
      </c>
      <c r="K69" s="119">
        <v>12.57</v>
      </c>
    </row>
    <row r="70" spans="1:11" ht="12.75">
      <c r="A70" s="85" t="s">
        <v>517</v>
      </c>
      <c r="B70" s="86" t="s">
        <v>518</v>
      </c>
      <c r="C70" s="109" t="str">
        <f t="shared" si="1"/>
        <v>2 lat/a od dnia zakupu</v>
      </c>
      <c r="D70" s="109">
        <v>38384</v>
      </c>
      <c r="E70" s="109" t="s">
        <v>541</v>
      </c>
      <c r="F70" s="110">
        <v>100</v>
      </c>
      <c r="G70" s="110"/>
      <c r="H70" s="254">
        <v>289.1142</v>
      </c>
      <c r="I70" s="254"/>
      <c r="J70" s="255">
        <v>0.06</v>
      </c>
      <c r="K70" s="119">
        <v>12.36</v>
      </c>
    </row>
    <row r="71" spans="1:11" ht="12.75">
      <c r="A71" s="85" t="s">
        <v>532</v>
      </c>
      <c r="B71" s="86" t="s">
        <v>533</v>
      </c>
      <c r="C71" s="109" t="str">
        <f t="shared" si="1"/>
        <v>2 lat/a od dnia zakupu</v>
      </c>
      <c r="D71" s="109">
        <v>38412</v>
      </c>
      <c r="E71" s="109">
        <v>38442</v>
      </c>
      <c r="F71" s="110">
        <v>100</v>
      </c>
      <c r="G71" s="110"/>
      <c r="H71" s="254">
        <v>167.89589999999998</v>
      </c>
      <c r="I71" s="254"/>
      <c r="J71" s="255">
        <v>0.054</v>
      </c>
      <c r="K71" s="119">
        <v>11.09</v>
      </c>
    </row>
    <row r="72" spans="1:11" ht="12.75">
      <c r="A72" s="85" t="s">
        <v>535</v>
      </c>
      <c r="B72" s="86" t="s">
        <v>536</v>
      </c>
      <c r="C72" s="109" t="str">
        <f t="shared" si="1"/>
        <v>2 lat/a od dnia zakupu</v>
      </c>
      <c r="D72" s="109">
        <v>38443</v>
      </c>
      <c r="E72" s="109">
        <v>38472</v>
      </c>
      <c r="F72" s="110">
        <v>100</v>
      </c>
      <c r="G72" s="110"/>
      <c r="H72" s="254">
        <v>166.41080000000002</v>
      </c>
      <c r="I72" s="254"/>
      <c r="J72" s="255">
        <v>0.051</v>
      </c>
      <c r="K72" s="119">
        <v>10.46</v>
      </c>
    </row>
    <row r="73" spans="1:11" ht="12.75">
      <c r="A73" s="85" t="s">
        <v>544</v>
      </c>
      <c r="B73" s="86" t="s">
        <v>545</v>
      </c>
      <c r="C73" s="109" t="str">
        <f t="shared" si="1"/>
        <v>2 lat/a od dnia zakupu</v>
      </c>
      <c r="D73" s="109">
        <v>38474</v>
      </c>
      <c r="E73" s="109">
        <v>38503</v>
      </c>
      <c r="F73" s="110">
        <v>100</v>
      </c>
      <c r="G73" s="110"/>
      <c r="H73" s="254">
        <v>246.4333</v>
      </c>
      <c r="I73" s="254"/>
      <c r="J73" s="255">
        <v>0.051</v>
      </c>
      <c r="K73" s="119">
        <v>10.46</v>
      </c>
    </row>
    <row r="74" spans="1:11" ht="12.75">
      <c r="A74" s="85" t="s">
        <v>549</v>
      </c>
      <c r="B74" s="86" t="s">
        <v>550</v>
      </c>
      <c r="C74" s="109" t="str">
        <f t="shared" si="1"/>
        <v>2 lat/a od dnia zakupu</v>
      </c>
      <c r="D74" s="109">
        <v>38504</v>
      </c>
      <c r="E74" s="109">
        <v>38533</v>
      </c>
      <c r="F74" s="110">
        <v>100</v>
      </c>
      <c r="G74" s="110"/>
      <c r="H74" s="254">
        <v>266.14860000000004</v>
      </c>
      <c r="I74" s="254"/>
      <c r="J74" s="255">
        <v>0.05</v>
      </c>
      <c r="K74" s="119">
        <v>10.25</v>
      </c>
    </row>
    <row r="75" spans="1:11" ht="12.75">
      <c r="A75" s="85" t="s">
        <v>557</v>
      </c>
      <c r="B75" s="86" t="s">
        <v>558</v>
      </c>
      <c r="C75" s="109" t="str">
        <f t="shared" si="1"/>
        <v>2 lat/a od dnia zakupu</v>
      </c>
      <c r="D75" s="109">
        <v>38534</v>
      </c>
      <c r="E75" s="109">
        <v>38564</v>
      </c>
      <c r="F75" s="110">
        <v>100</v>
      </c>
      <c r="G75" s="110"/>
      <c r="H75" s="254">
        <v>175.202</v>
      </c>
      <c r="I75" s="254"/>
      <c r="J75" s="255">
        <v>0.045</v>
      </c>
      <c r="K75" s="119">
        <v>9.2</v>
      </c>
    </row>
    <row r="76" spans="1:11" ht="12.75">
      <c r="A76" s="85" t="s">
        <v>566</v>
      </c>
      <c r="B76" s="86" t="s">
        <v>567</v>
      </c>
      <c r="C76" s="109" t="str">
        <f t="shared" si="1"/>
        <v>2 lat/a od dnia zakupu</v>
      </c>
      <c r="D76" s="109">
        <v>38565</v>
      </c>
      <c r="E76" s="109">
        <v>38595</v>
      </c>
      <c r="F76" s="110">
        <v>100</v>
      </c>
      <c r="G76" s="110">
        <v>99.9</v>
      </c>
      <c r="H76" s="254">
        <v>223.8658</v>
      </c>
      <c r="I76" s="254">
        <v>17.199</v>
      </c>
      <c r="J76" s="255">
        <v>0.0425</v>
      </c>
      <c r="K76" s="119">
        <v>8.68</v>
      </c>
    </row>
    <row r="77" spans="1:11" ht="12.75">
      <c r="A77" s="85" t="s">
        <v>572</v>
      </c>
      <c r="B77" s="86" t="s">
        <v>581</v>
      </c>
      <c r="C77" s="109" t="str">
        <f t="shared" si="1"/>
        <v>2 lat/a od dnia zakupu</v>
      </c>
      <c r="D77" s="109">
        <v>38596</v>
      </c>
      <c r="E77" s="109">
        <v>38625</v>
      </c>
      <c r="F77" s="110">
        <v>100</v>
      </c>
      <c r="G77" s="110">
        <v>99.9</v>
      </c>
      <c r="H77" s="254">
        <v>286.6585</v>
      </c>
      <c r="I77" s="254">
        <v>16.5298</v>
      </c>
      <c r="J77" s="255">
        <v>0.0425</v>
      </c>
      <c r="K77" s="119">
        <v>8.68</v>
      </c>
    </row>
    <row r="78" spans="1:11" ht="12.75">
      <c r="A78" s="85" t="s">
        <v>579</v>
      </c>
      <c r="B78" s="86" t="s">
        <v>580</v>
      </c>
      <c r="C78" s="109" t="str">
        <f t="shared" si="1"/>
        <v>2 lat/a od dnia zakupu</v>
      </c>
      <c r="D78" s="109">
        <v>38626</v>
      </c>
      <c r="E78" s="109">
        <v>38656</v>
      </c>
      <c r="F78" s="110">
        <v>100</v>
      </c>
      <c r="G78" s="110">
        <v>99.9</v>
      </c>
      <c r="H78" s="254">
        <v>172.6411</v>
      </c>
      <c r="I78" s="254">
        <v>13.3681</v>
      </c>
      <c r="J78" s="255">
        <v>0.04</v>
      </c>
      <c r="K78" s="119">
        <v>8.16</v>
      </c>
    </row>
    <row r="79" spans="1:11" ht="12.75">
      <c r="A79" s="85" t="s">
        <v>587</v>
      </c>
      <c r="B79" s="86" t="s">
        <v>588</v>
      </c>
      <c r="C79" s="109" t="str">
        <f t="shared" si="1"/>
        <v>2 lat/a od dnia zakupu</v>
      </c>
      <c r="D79" s="109">
        <v>38658</v>
      </c>
      <c r="E79" s="109">
        <v>38686</v>
      </c>
      <c r="F79" s="110">
        <v>100</v>
      </c>
      <c r="G79" s="110">
        <v>99.9</v>
      </c>
      <c r="H79" s="254">
        <v>331.0423</v>
      </c>
      <c r="I79" s="254">
        <v>143.6263</v>
      </c>
      <c r="J79" s="255">
        <v>0.04</v>
      </c>
      <c r="K79" s="119">
        <v>8.16</v>
      </c>
    </row>
    <row r="80" spans="1:11" ht="12.75">
      <c r="A80" s="90" t="s">
        <v>595</v>
      </c>
      <c r="B80" s="91" t="s">
        <v>596</v>
      </c>
      <c r="C80" s="111" t="str">
        <f t="shared" si="1"/>
        <v>2 lat/a od dnia zakupu</v>
      </c>
      <c r="D80" s="111">
        <v>38687</v>
      </c>
      <c r="E80" s="111">
        <v>38717</v>
      </c>
      <c r="F80" s="112">
        <v>100</v>
      </c>
      <c r="G80" s="121">
        <v>99.9</v>
      </c>
      <c r="H80" s="256">
        <v>630.248</v>
      </c>
      <c r="I80" s="256">
        <v>298.0324</v>
      </c>
      <c r="J80" s="257">
        <v>0.0425</v>
      </c>
      <c r="K80" s="121">
        <v>8.68</v>
      </c>
    </row>
    <row r="81" spans="1:11" ht="12.75">
      <c r="A81" s="85" t="s">
        <v>603</v>
      </c>
      <c r="B81" s="86" t="s">
        <v>604</v>
      </c>
      <c r="C81" s="109" t="str">
        <f t="shared" si="1"/>
        <v>2 lat/a od dnia zakupu</v>
      </c>
      <c r="D81" s="109">
        <v>38718</v>
      </c>
      <c r="E81" s="109">
        <v>38748</v>
      </c>
      <c r="F81" s="110">
        <v>100</v>
      </c>
      <c r="G81" s="119">
        <v>99.9</v>
      </c>
      <c r="H81" s="258">
        <v>422.95730000000003</v>
      </c>
      <c r="I81" s="258">
        <v>196.6556</v>
      </c>
      <c r="J81" s="259">
        <v>0.041</v>
      </c>
      <c r="K81" s="119">
        <v>8.37</v>
      </c>
    </row>
    <row r="82" spans="1:11" ht="12.75">
      <c r="A82" s="85" t="s">
        <v>609</v>
      </c>
      <c r="B82" s="86" t="s">
        <v>613</v>
      </c>
      <c r="C82" s="109" t="str">
        <f t="shared" si="1"/>
        <v>2 lat/a od dnia zakupu</v>
      </c>
      <c r="D82" s="109">
        <v>38749</v>
      </c>
      <c r="E82" s="109">
        <v>38776</v>
      </c>
      <c r="F82" s="110">
        <v>100</v>
      </c>
      <c r="G82" s="110">
        <v>99.9</v>
      </c>
      <c r="H82" s="254">
        <v>287.8072</v>
      </c>
      <c r="I82" s="254">
        <v>115.461</v>
      </c>
      <c r="J82" s="255">
        <v>0.0385</v>
      </c>
      <c r="K82" s="119">
        <v>7.85</v>
      </c>
    </row>
    <row r="83" spans="1:11" ht="12.75">
      <c r="A83" s="85" t="s">
        <v>617</v>
      </c>
      <c r="B83" s="86" t="s">
        <v>618</v>
      </c>
      <c r="C83" s="109" t="str">
        <f t="shared" si="1"/>
        <v>2 lat/a od dnia zakupu</v>
      </c>
      <c r="D83" s="109">
        <v>38777</v>
      </c>
      <c r="E83" s="109">
        <v>38807</v>
      </c>
      <c r="F83" s="110">
        <v>100</v>
      </c>
      <c r="G83" s="110">
        <v>99.9</v>
      </c>
      <c r="H83" s="254">
        <v>196.3988</v>
      </c>
      <c r="I83" s="254">
        <v>100.4689</v>
      </c>
      <c r="J83" s="255">
        <v>0.036</v>
      </c>
      <c r="K83" s="119">
        <v>7.33</v>
      </c>
    </row>
    <row r="84" spans="1:11" ht="12.75">
      <c r="A84" s="85" t="s">
        <v>624</v>
      </c>
      <c r="B84" s="86" t="s">
        <v>625</v>
      </c>
      <c r="C84" s="109" t="str">
        <f t="shared" si="1"/>
        <v>2 lat/a od dnia zakupu</v>
      </c>
      <c r="D84" s="109">
        <v>38808</v>
      </c>
      <c r="E84" s="109">
        <v>38837</v>
      </c>
      <c r="F84" s="110">
        <v>100</v>
      </c>
      <c r="G84" s="110">
        <v>99.9</v>
      </c>
      <c r="H84" s="254">
        <v>123.65429999999999</v>
      </c>
      <c r="I84" s="254">
        <v>47.1241</v>
      </c>
      <c r="J84" s="255">
        <v>0.037</v>
      </c>
      <c r="K84" s="110">
        <v>7.54</v>
      </c>
    </row>
    <row r="85" spans="1:11" ht="12.75">
      <c r="A85" s="85" t="s">
        <v>630</v>
      </c>
      <c r="B85" s="86" t="s">
        <v>631</v>
      </c>
      <c r="C85" s="109" t="str">
        <f t="shared" si="1"/>
        <v>2 lat/a od dnia zakupu</v>
      </c>
      <c r="D85" s="109">
        <v>38838</v>
      </c>
      <c r="E85" s="109">
        <v>38868</v>
      </c>
      <c r="F85" s="110">
        <v>100</v>
      </c>
      <c r="G85" s="110">
        <v>99.9</v>
      </c>
      <c r="H85" s="254">
        <v>134.88969999999998</v>
      </c>
      <c r="I85" s="254">
        <v>52.5326</v>
      </c>
      <c r="J85" s="255">
        <v>0.038</v>
      </c>
      <c r="K85" s="110">
        <v>7.74</v>
      </c>
    </row>
    <row r="86" spans="1:11" ht="12.75">
      <c r="A86" s="85" t="s">
        <v>639</v>
      </c>
      <c r="B86" s="86" t="s">
        <v>640</v>
      </c>
      <c r="C86" s="109" t="str">
        <f t="shared" si="1"/>
        <v>2 lat/a od dnia zakupu</v>
      </c>
      <c r="D86" s="109">
        <v>38869</v>
      </c>
      <c r="E86" s="109">
        <v>38898</v>
      </c>
      <c r="F86" s="110">
        <v>100</v>
      </c>
      <c r="G86" s="110">
        <v>99.9</v>
      </c>
      <c r="H86" s="254">
        <v>317.1382</v>
      </c>
      <c r="I86" s="254">
        <v>122.3448</v>
      </c>
      <c r="J86" s="255">
        <v>0.04</v>
      </c>
      <c r="K86" s="110">
        <v>8.16</v>
      </c>
    </row>
    <row r="87" spans="1:11" ht="12.75">
      <c r="A87" s="85" t="s">
        <v>645</v>
      </c>
      <c r="B87" s="86" t="s">
        <v>646</v>
      </c>
      <c r="C87" s="109" t="str">
        <f t="shared" si="1"/>
        <v>2 lat/a od dnia zakupu</v>
      </c>
      <c r="D87" s="109">
        <v>38899</v>
      </c>
      <c r="E87" s="109">
        <v>38929</v>
      </c>
      <c r="F87" s="110">
        <v>100</v>
      </c>
      <c r="G87" s="110">
        <v>99.9</v>
      </c>
      <c r="H87" s="254">
        <v>482.3492</v>
      </c>
      <c r="I87" s="254">
        <v>134.6381</v>
      </c>
      <c r="J87" s="255">
        <v>0.045</v>
      </c>
      <c r="K87" s="110">
        <v>9.2</v>
      </c>
    </row>
    <row r="88" spans="1:11" ht="12.75">
      <c r="A88" s="85" t="s">
        <v>651</v>
      </c>
      <c r="B88" s="86" t="s">
        <v>652</v>
      </c>
      <c r="C88" s="109" t="str">
        <f t="shared" si="1"/>
        <v>2 lat/a od dnia zakupu</v>
      </c>
      <c r="D88" s="109">
        <v>38930</v>
      </c>
      <c r="E88" s="109">
        <v>38960</v>
      </c>
      <c r="F88" s="110">
        <v>100</v>
      </c>
      <c r="G88" s="110">
        <v>99.9</v>
      </c>
      <c r="H88" s="254">
        <v>450.8229</v>
      </c>
      <c r="I88" s="254">
        <v>190.3054</v>
      </c>
      <c r="J88" s="259">
        <v>0.043</v>
      </c>
      <c r="K88" s="119">
        <v>8.78</v>
      </c>
    </row>
    <row r="89" spans="1:11" ht="12.75">
      <c r="A89" s="85" t="s">
        <v>659</v>
      </c>
      <c r="B89" s="86" t="s">
        <v>660</v>
      </c>
      <c r="C89" s="109" t="str">
        <f t="shared" si="1"/>
        <v>2 lat/a od dnia zakupu</v>
      </c>
      <c r="D89" s="109">
        <v>38961</v>
      </c>
      <c r="E89" s="109">
        <v>38990</v>
      </c>
      <c r="F89" s="110">
        <v>100</v>
      </c>
      <c r="G89" s="110">
        <v>99.9</v>
      </c>
      <c r="H89" s="254">
        <v>339.9131</v>
      </c>
      <c r="I89" s="254">
        <v>111.4916</v>
      </c>
      <c r="J89" s="259">
        <v>0.044000000000000004</v>
      </c>
      <c r="K89" s="119">
        <v>8.99</v>
      </c>
    </row>
    <row r="90" spans="1:11" ht="12.75">
      <c r="A90" s="85" t="s">
        <v>665</v>
      </c>
      <c r="B90" s="86" t="s">
        <v>666</v>
      </c>
      <c r="C90" s="109" t="str">
        <f t="shared" si="1"/>
        <v>2 lat/a od dnia zakupu</v>
      </c>
      <c r="D90" s="109">
        <v>38991</v>
      </c>
      <c r="E90" s="109">
        <v>39021</v>
      </c>
      <c r="F90" s="110">
        <v>100</v>
      </c>
      <c r="G90" s="119">
        <v>99.9</v>
      </c>
      <c r="H90" s="254">
        <v>256.64140000000003</v>
      </c>
      <c r="I90" s="254">
        <v>101.5445</v>
      </c>
      <c r="J90" s="259">
        <v>0.044000000000000004</v>
      </c>
      <c r="K90" s="119">
        <v>8.99</v>
      </c>
    </row>
    <row r="91" spans="1:11" ht="12.75">
      <c r="A91" s="85" t="s">
        <v>676</v>
      </c>
      <c r="B91" s="86" t="s">
        <v>667</v>
      </c>
      <c r="C91" s="109" t="str">
        <f t="shared" si="1"/>
        <v>2 lat/a od dnia zakupu</v>
      </c>
      <c r="D91" s="109">
        <v>39022</v>
      </c>
      <c r="E91" s="109">
        <v>39051</v>
      </c>
      <c r="F91" s="110">
        <v>100</v>
      </c>
      <c r="G91" s="119">
        <v>99.9</v>
      </c>
      <c r="H91" s="254">
        <v>335.62929999999994</v>
      </c>
      <c r="I91" s="254">
        <v>117.5874</v>
      </c>
      <c r="J91" s="259">
        <v>0.044000000000000004</v>
      </c>
      <c r="K91" s="119">
        <v>8.99</v>
      </c>
    </row>
    <row r="92" spans="1:11" ht="12.75">
      <c r="A92" s="90" t="s">
        <v>677</v>
      </c>
      <c r="B92" s="91" t="s">
        <v>678</v>
      </c>
      <c r="C92" s="111" t="str">
        <f t="shared" si="1"/>
        <v>2 lat/a od dnia zakupu</v>
      </c>
      <c r="D92" s="111">
        <v>39052</v>
      </c>
      <c r="E92" s="111">
        <v>39082</v>
      </c>
      <c r="F92" s="112">
        <v>100</v>
      </c>
      <c r="G92" s="121">
        <v>99.9</v>
      </c>
      <c r="H92" s="256">
        <v>223.7753</v>
      </c>
      <c r="I92" s="256">
        <v>90.5271</v>
      </c>
      <c r="J92" s="257">
        <v>0.042</v>
      </c>
      <c r="K92" s="121">
        <v>8.58</v>
      </c>
    </row>
    <row r="93" spans="1:11" ht="12.75">
      <c r="A93" s="85" t="s">
        <v>693</v>
      </c>
      <c r="B93" s="86" t="s">
        <v>694</v>
      </c>
      <c r="C93" s="109" t="str">
        <f t="shared" si="1"/>
        <v>2 lat/a od dnia zakupu</v>
      </c>
      <c r="D93" s="109">
        <v>39083</v>
      </c>
      <c r="E93" s="109">
        <v>39113</v>
      </c>
      <c r="F93" s="110">
        <v>100</v>
      </c>
      <c r="G93" s="119">
        <v>99.9</v>
      </c>
      <c r="H93" s="258">
        <v>191.3682</v>
      </c>
      <c r="I93" s="258">
        <v>49.6801</v>
      </c>
      <c r="J93" s="259">
        <v>0.042</v>
      </c>
      <c r="K93" s="119">
        <v>8.58</v>
      </c>
    </row>
    <row r="94" spans="1:11" ht="12.75">
      <c r="A94" s="85" t="s">
        <v>695</v>
      </c>
      <c r="B94" s="86" t="s">
        <v>696</v>
      </c>
      <c r="C94" s="109" t="str">
        <f t="shared" si="1"/>
        <v>2 lat/a od dnia zakupu</v>
      </c>
      <c r="D94" s="109">
        <v>39114</v>
      </c>
      <c r="E94" s="109">
        <v>39141</v>
      </c>
      <c r="F94" s="110">
        <v>100</v>
      </c>
      <c r="G94" s="119">
        <v>99.9</v>
      </c>
      <c r="H94" s="254">
        <v>143.433</v>
      </c>
      <c r="I94" s="254">
        <v>75.1022</v>
      </c>
      <c r="J94" s="259">
        <v>0.04</v>
      </c>
      <c r="K94" s="119">
        <v>8.16</v>
      </c>
    </row>
    <row r="95" spans="1:11" ht="12.75">
      <c r="A95" s="85" t="s">
        <v>699</v>
      </c>
      <c r="B95" s="86" t="s">
        <v>704</v>
      </c>
      <c r="C95" s="109" t="str">
        <f t="shared" si="1"/>
        <v>2 lat/a od dnia zakupu</v>
      </c>
      <c r="D95" s="109">
        <v>39142</v>
      </c>
      <c r="E95" s="109">
        <v>39172</v>
      </c>
      <c r="F95" s="110">
        <v>100</v>
      </c>
      <c r="G95" s="119">
        <v>99.9</v>
      </c>
      <c r="H95" s="254">
        <v>102.0209</v>
      </c>
      <c r="I95" s="254">
        <v>46.1241</v>
      </c>
      <c r="J95" s="259">
        <v>0.04</v>
      </c>
      <c r="K95" s="119">
        <v>8.16</v>
      </c>
    </row>
    <row r="96" spans="1:11" ht="12.75">
      <c r="A96" s="85" t="s">
        <v>702</v>
      </c>
      <c r="B96" s="86" t="s">
        <v>703</v>
      </c>
      <c r="C96" s="109" t="str">
        <f t="shared" si="1"/>
        <v>2 lat/a od dnia zakupu</v>
      </c>
      <c r="D96" s="109">
        <v>39173</v>
      </c>
      <c r="E96" s="109">
        <v>39202</v>
      </c>
      <c r="F96" s="110">
        <v>100</v>
      </c>
      <c r="G96" s="119">
        <v>99.9</v>
      </c>
      <c r="H96" s="254">
        <v>83.0521</v>
      </c>
      <c r="I96" s="254">
        <v>40.8495</v>
      </c>
      <c r="J96" s="259">
        <v>0.04</v>
      </c>
      <c r="K96" s="119">
        <v>8.16</v>
      </c>
    </row>
    <row r="97" spans="1:11" ht="12.75">
      <c r="A97" s="85" t="s">
        <v>711</v>
      </c>
      <c r="B97" s="86" t="s">
        <v>712</v>
      </c>
      <c r="C97" s="109" t="str">
        <f t="shared" si="1"/>
        <v>2 lat/a od dnia zakupu</v>
      </c>
      <c r="D97" s="109">
        <v>39203</v>
      </c>
      <c r="E97" s="109">
        <v>39233</v>
      </c>
      <c r="F97" s="110">
        <v>100</v>
      </c>
      <c r="G97" s="119">
        <v>99.9</v>
      </c>
      <c r="H97" s="254">
        <v>131.32420000000002</v>
      </c>
      <c r="I97" s="254">
        <v>60.745</v>
      </c>
      <c r="J97" s="259">
        <v>0.042</v>
      </c>
      <c r="K97" s="119">
        <v>8.58</v>
      </c>
    </row>
    <row r="98" spans="1:11" ht="12.75">
      <c r="A98" s="85" t="s">
        <v>719</v>
      </c>
      <c r="B98" s="86" t="s">
        <v>720</v>
      </c>
      <c r="C98" s="109" t="str">
        <f t="shared" si="1"/>
        <v>2 lat/a od dnia zakupu</v>
      </c>
      <c r="D98" s="109">
        <v>39234</v>
      </c>
      <c r="E98" s="109">
        <v>39263</v>
      </c>
      <c r="F98" s="110">
        <v>100</v>
      </c>
      <c r="G98" s="119">
        <v>99.9</v>
      </c>
      <c r="H98" s="254">
        <v>97.3333</v>
      </c>
      <c r="I98" s="254">
        <v>51.9945</v>
      </c>
      <c r="J98" s="259">
        <v>0.042</v>
      </c>
      <c r="K98" s="119">
        <v>8.58</v>
      </c>
    </row>
    <row r="99" spans="1:11" ht="12.75">
      <c r="A99" s="85" t="s">
        <v>725</v>
      </c>
      <c r="B99" s="86" t="s">
        <v>726</v>
      </c>
      <c r="C99" s="109" t="str">
        <f t="shared" si="1"/>
        <v>2 lat/a od dnia zakupu</v>
      </c>
      <c r="D99" s="109">
        <v>39264</v>
      </c>
      <c r="E99" s="109">
        <v>39294</v>
      </c>
      <c r="F99" s="110">
        <v>100</v>
      </c>
      <c r="G99" s="119">
        <v>99.9</v>
      </c>
      <c r="H99" s="254">
        <v>102.58160000000001</v>
      </c>
      <c r="I99" s="254">
        <v>39.2421</v>
      </c>
      <c r="J99" s="259">
        <v>0.045</v>
      </c>
      <c r="K99" s="119">
        <v>9.2</v>
      </c>
    </row>
    <row r="100" spans="1:11" ht="12.75">
      <c r="A100" s="85" t="s">
        <v>733</v>
      </c>
      <c r="B100" s="86" t="s">
        <v>734</v>
      </c>
      <c r="C100" s="109" t="str">
        <f t="shared" si="1"/>
        <v>2 lat/a od dnia zakupu</v>
      </c>
      <c r="D100" s="109">
        <v>39295</v>
      </c>
      <c r="E100" s="109">
        <v>39325</v>
      </c>
      <c r="F100" s="110">
        <v>100</v>
      </c>
      <c r="G100" s="119">
        <v>99.9</v>
      </c>
      <c r="H100" s="258">
        <v>156.76839999999999</v>
      </c>
      <c r="I100" s="258">
        <v>70.9168</v>
      </c>
      <c r="J100" s="259">
        <v>0.045</v>
      </c>
      <c r="K100" s="119">
        <v>9.2</v>
      </c>
    </row>
    <row r="101" spans="1:11" ht="12.75">
      <c r="A101" s="85" t="s">
        <v>741</v>
      </c>
      <c r="B101" s="86" t="s">
        <v>742</v>
      </c>
      <c r="C101" s="109" t="str">
        <f t="shared" si="1"/>
        <v>2 lat/a od dnia zakupu</v>
      </c>
      <c r="D101" s="109">
        <v>39326</v>
      </c>
      <c r="E101" s="109">
        <v>39355</v>
      </c>
      <c r="F101" s="110">
        <v>100</v>
      </c>
      <c r="G101" s="119">
        <v>99.9</v>
      </c>
      <c r="H101" s="258">
        <v>197.6417</v>
      </c>
      <c r="I101" s="258">
        <v>86.2817</v>
      </c>
      <c r="J101" s="259">
        <v>0.0475</v>
      </c>
      <c r="K101" s="119">
        <v>9.73</v>
      </c>
    </row>
    <row r="102" spans="1:11" ht="12.75">
      <c r="A102" s="85" t="s">
        <v>746</v>
      </c>
      <c r="B102" s="86" t="s">
        <v>747</v>
      </c>
      <c r="C102" s="109" t="str">
        <f t="shared" si="1"/>
        <v>2 lat/a od dnia zakupu</v>
      </c>
      <c r="D102" s="109">
        <v>39356</v>
      </c>
      <c r="E102" s="109">
        <v>39386</v>
      </c>
      <c r="F102" s="110">
        <v>100</v>
      </c>
      <c r="G102" s="119">
        <v>99.9</v>
      </c>
      <c r="H102" s="258">
        <v>142.0988</v>
      </c>
      <c r="I102" s="258">
        <v>56.0289</v>
      </c>
      <c r="J102" s="259">
        <v>0.0475</v>
      </c>
      <c r="K102" s="119">
        <v>9.73</v>
      </c>
    </row>
    <row r="103" spans="1:11" ht="12.75">
      <c r="A103" s="85" t="s">
        <v>752</v>
      </c>
      <c r="B103" s="86" t="s">
        <v>753</v>
      </c>
      <c r="C103" s="109" t="str">
        <f t="shared" si="1"/>
        <v>2 lat/a od dnia zakupu</v>
      </c>
      <c r="D103" s="109">
        <v>39387</v>
      </c>
      <c r="E103" s="109">
        <v>39416</v>
      </c>
      <c r="F103" s="110">
        <v>100</v>
      </c>
      <c r="G103" s="119">
        <v>99.9</v>
      </c>
      <c r="H103" s="258">
        <v>228.9839</v>
      </c>
      <c r="I103" s="258">
        <v>127.3513</v>
      </c>
      <c r="J103" s="259">
        <v>0.0475</v>
      </c>
      <c r="K103" s="119">
        <v>9.73</v>
      </c>
    </row>
    <row r="104" spans="1:11" ht="12.75">
      <c r="A104" s="90" t="s">
        <v>760</v>
      </c>
      <c r="B104" s="91" t="s">
        <v>761</v>
      </c>
      <c r="C104" s="111" t="str">
        <f t="shared" si="1"/>
        <v>2 lat/a od dnia zakupu</v>
      </c>
      <c r="D104" s="111">
        <v>39417</v>
      </c>
      <c r="E104" s="111">
        <v>39447</v>
      </c>
      <c r="F104" s="112">
        <v>100</v>
      </c>
      <c r="G104" s="121">
        <v>99.9</v>
      </c>
      <c r="H104" s="256">
        <v>462.292</v>
      </c>
      <c r="I104" s="256">
        <v>256.6237</v>
      </c>
      <c r="J104" s="257">
        <v>0.053</v>
      </c>
      <c r="K104" s="121">
        <v>10.88</v>
      </c>
    </row>
    <row r="105" spans="1:11" ht="12.75">
      <c r="A105" s="85" t="s">
        <v>766</v>
      </c>
      <c r="B105" s="86" t="s">
        <v>767</v>
      </c>
      <c r="C105" s="109" t="str">
        <f t="shared" si="1"/>
        <v>2 lat/a od dnia zakupu</v>
      </c>
      <c r="D105" s="109">
        <v>39448</v>
      </c>
      <c r="E105" s="109">
        <v>39478</v>
      </c>
      <c r="F105" s="110">
        <v>100</v>
      </c>
      <c r="G105" s="119">
        <v>99.9</v>
      </c>
      <c r="H105" s="258">
        <v>507.5788</v>
      </c>
      <c r="I105" s="258">
        <v>168.9858</v>
      </c>
      <c r="J105" s="259">
        <v>0.055</v>
      </c>
      <c r="K105" s="119">
        <v>11.3</v>
      </c>
    </row>
    <row r="106" spans="1:11" ht="12.75">
      <c r="A106" s="85" t="s">
        <v>772</v>
      </c>
      <c r="B106" s="86" t="s">
        <v>775</v>
      </c>
      <c r="C106" s="109" t="str">
        <f t="shared" si="1"/>
        <v>2 lat/a od dnia zakupu</v>
      </c>
      <c r="D106" s="109">
        <v>39479</v>
      </c>
      <c r="E106" s="109">
        <v>39506</v>
      </c>
      <c r="F106" s="110">
        <v>100</v>
      </c>
      <c r="G106" s="119">
        <v>99.9</v>
      </c>
      <c r="H106" s="258">
        <v>121.5766</v>
      </c>
      <c r="I106" s="258">
        <v>79.4475</v>
      </c>
      <c r="J106" s="259">
        <v>0.053</v>
      </c>
      <c r="K106" s="119">
        <v>10.88</v>
      </c>
    </row>
    <row r="107" spans="1:11" ht="12.75">
      <c r="A107" s="85" t="s">
        <v>780</v>
      </c>
      <c r="B107" s="86" t="s">
        <v>781</v>
      </c>
      <c r="C107" s="109" t="str">
        <f t="shared" si="1"/>
        <v>2 lat/a od dnia zakupu</v>
      </c>
      <c r="D107" s="109">
        <v>39508</v>
      </c>
      <c r="E107" s="109">
        <v>39538</v>
      </c>
      <c r="F107" s="110">
        <v>100</v>
      </c>
      <c r="G107" s="119">
        <v>99.9</v>
      </c>
      <c r="H107" s="258">
        <v>171.872</v>
      </c>
      <c r="I107" s="258">
        <v>69.6318</v>
      </c>
      <c r="J107" s="259">
        <v>0.055</v>
      </c>
      <c r="K107" s="119">
        <v>11.3</v>
      </c>
    </row>
    <row r="108" spans="1:11" ht="12.75">
      <c r="A108" s="85" t="s">
        <v>785</v>
      </c>
      <c r="B108" s="86" t="s">
        <v>786</v>
      </c>
      <c r="C108" s="109" t="str">
        <f t="shared" si="1"/>
        <v>2 lat/a od dnia zakupu</v>
      </c>
      <c r="D108" s="109">
        <v>39539</v>
      </c>
      <c r="E108" s="109">
        <v>39568</v>
      </c>
      <c r="F108" s="110">
        <v>100</v>
      </c>
      <c r="G108" s="119">
        <v>99.9</v>
      </c>
      <c r="H108" s="258">
        <v>161.1955</v>
      </c>
      <c r="I108" s="258">
        <v>43.4695</v>
      </c>
      <c r="J108" s="259">
        <v>0.057</v>
      </c>
      <c r="K108" s="119">
        <v>11.72</v>
      </c>
    </row>
    <row r="109" spans="1:11" ht="12.75">
      <c r="A109" s="85" t="s">
        <v>789</v>
      </c>
      <c r="B109" s="86" t="s">
        <v>790</v>
      </c>
      <c r="C109" s="109" t="str">
        <f t="shared" si="1"/>
        <v>2 lat/a od dnia zakupu</v>
      </c>
      <c r="D109" s="109">
        <v>39569</v>
      </c>
      <c r="E109" s="109">
        <v>39599</v>
      </c>
      <c r="F109" s="110">
        <v>100</v>
      </c>
      <c r="G109" s="119">
        <v>99.9</v>
      </c>
      <c r="H109" s="258">
        <v>142.0735</v>
      </c>
      <c r="I109" s="258">
        <v>53.1311</v>
      </c>
      <c r="J109" s="259">
        <v>0.057</v>
      </c>
      <c r="K109" s="119">
        <v>11.72</v>
      </c>
    </row>
    <row r="110" spans="1:11" ht="12.75">
      <c r="A110" s="85" t="s">
        <v>797</v>
      </c>
      <c r="B110" s="86" t="s">
        <v>798</v>
      </c>
      <c r="C110" s="109" t="str">
        <f t="shared" si="1"/>
        <v>2 lat/a od dnia zakupu</v>
      </c>
      <c r="D110" s="109">
        <v>39600</v>
      </c>
      <c r="E110" s="109">
        <v>39629</v>
      </c>
      <c r="F110" s="110">
        <v>100</v>
      </c>
      <c r="G110" s="119">
        <v>99.9</v>
      </c>
      <c r="H110" s="258">
        <v>255.5495</v>
      </c>
      <c r="I110" s="258">
        <v>115.6041</v>
      </c>
      <c r="J110" s="259">
        <v>0.06</v>
      </c>
      <c r="K110" s="119">
        <v>12.36</v>
      </c>
    </row>
    <row r="111" spans="1:11" ht="12.75">
      <c r="A111" s="85" t="s">
        <v>804</v>
      </c>
      <c r="B111" s="86" t="s">
        <v>805</v>
      </c>
      <c r="C111" s="109" t="str">
        <f t="shared" si="1"/>
        <v>2 lat/a od dnia zakupu</v>
      </c>
      <c r="D111" s="109">
        <v>39630</v>
      </c>
      <c r="E111" s="109">
        <v>39660</v>
      </c>
      <c r="F111" s="110">
        <v>100</v>
      </c>
      <c r="G111" s="119">
        <v>99.9</v>
      </c>
      <c r="H111" s="258">
        <v>500.0775</v>
      </c>
      <c r="I111" s="258">
        <v>165.5145</v>
      </c>
      <c r="J111" s="259">
        <v>0.0625</v>
      </c>
      <c r="K111" s="119">
        <v>12.89</v>
      </c>
    </row>
    <row r="112" spans="1:11" ht="12.75">
      <c r="A112" s="85" t="s">
        <v>810</v>
      </c>
      <c r="B112" s="86" t="s">
        <v>811</v>
      </c>
      <c r="C112" s="109" t="str">
        <f t="shared" si="1"/>
        <v>2 lat/a od dnia zakupu</v>
      </c>
      <c r="D112" s="109">
        <v>39661</v>
      </c>
      <c r="E112" s="109">
        <v>39691</v>
      </c>
      <c r="F112" s="110">
        <v>100</v>
      </c>
      <c r="G112" s="119">
        <v>99.9</v>
      </c>
      <c r="H112" s="258">
        <v>497.7981</v>
      </c>
      <c r="I112" s="258">
        <v>178.7556</v>
      </c>
      <c r="J112" s="259">
        <v>0.0625</v>
      </c>
      <c r="K112" s="119">
        <v>12.89</v>
      </c>
    </row>
    <row r="113" spans="1:11" ht="12.75">
      <c r="A113" s="85" t="s">
        <v>818</v>
      </c>
      <c r="B113" s="86" t="s">
        <v>819</v>
      </c>
      <c r="C113" s="109" t="str">
        <f t="shared" si="1"/>
        <v>2 lat/a od dnia zakupu</v>
      </c>
      <c r="D113" s="109">
        <v>39692</v>
      </c>
      <c r="E113" s="109">
        <v>39721</v>
      </c>
      <c r="F113" s="110">
        <v>100</v>
      </c>
      <c r="G113" s="119">
        <v>99.9</v>
      </c>
      <c r="H113" s="258">
        <v>272.8955</v>
      </c>
      <c r="I113" s="258">
        <v>115.9794</v>
      </c>
      <c r="J113" s="259">
        <v>0.06</v>
      </c>
      <c r="K113" s="110">
        <v>12.36</v>
      </c>
    </row>
    <row r="114" spans="1:11" ht="12.75">
      <c r="A114" s="85" t="s">
        <v>820</v>
      </c>
      <c r="B114" s="86" t="s">
        <v>821</v>
      </c>
      <c r="C114" s="109" t="str">
        <f t="shared" si="1"/>
        <v>2 lat/a od dnia zakupu</v>
      </c>
      <c r="D114" s="109">
        <v>39722</v>
      </c>
      <c r="E114" s="109">
        <v>39752</v>
      </c>
      <c r="F114" s="110">
        <v>100</v>
      </c>
      <c r="G114" s="119">
        <v>99.9</v>
      </c>
      <c r="H114" s="258">
        <v>600.9819</v>
      </c>
      <c r="I114" s="258">
        <v>68.7173</v>
      </c>
      <c r="J114" s="259">
        <v>0.058</v>
      </c>
      <c r="K114" s="119">
        <v>11.94</v>
      </c>
    </row>
    <row r="115" spans="1:11" ht="12.75">
      <c r="A115" s="85" t="s">
        <v>830</v>
      </c>
      <c r="B115" s="86" t="s">
        <v>831</v>
      </c>
      <c r="C115" s="109" t="str">
        <f t="shared" si="1"/>
        <v>2 lat/a od dnia zakupu</v>
      </c>
      <c r="D115" s="109">
        <v>39753</v>
      </c>
      <c r="E115" s="109">
        <v>39782</v>
      </c>
      <c r="F115" s="110">
        <v>100</v>
      </c>
      <c r="G115" s="119">
        <v>99.9</v>
      </c>
      <c r="H115" s="258">
        <v>302.8784</v>
      </c>
      <c r="I115" s="258">
        <v>119.0534</v>
      </c>
      <c r="J115" s="259">
        <v>0.0625</v>
      </c>
      <c r="K115" s="119">
        <v>12.89</v>
      </c>
    </row>
    <row r="116" spans="1:11" ht="12.75">
      <c r="A116" s="90" t="s">
        <v>838</v>
      </c>
      <c r="B116" s="91" t="s">
        <v>839</v>
      </c>
      <c r="C116" s="111" t="str">
        <f t="shared" si="1"/>
        <v>2 lat/a od dnia zakupu</v>
      </c>
      <c r="D116" s="111">
        <v>39783</v>
      </c>
      <c r="E116" s="111">
        <v>39813</v>
      </c>
      <c r="F116" s="112">
        <v>100</v>
      </c>
      <c r="G116" s="121">
        <v>99.9</v>
      </c>
      <c r="H116" s="256">
        <v>256.6328</v>
      </c>
      <c r="I116" s="256">
        <v>83.5987</v>
      </c>
      <c r="J116" s="257">
        <v>0.0625</v>
      </c>
      <c r="K116" s="121">
        <v>12.89</v>
      </c>
    </row>
    <row r="117" spans="1:11" ht="12.75">
      <c r="A117" s="85" t="s">
        <v>840</v>
      </c>
      <c r="B117" s="86" t="s">
        <v>841</v>
      </c>
      <c r="C117" s="109" t="str">
        <f t="shared" si="1"/>
        <v>2 lat/a od dnia zakupu</v>
      </c>
      <c r="D117" s="109">
        <v>39814</v>
      </c>
      <c r="E117" s="109">
        <v>39844</v>
      </c>
      <c r="F117" s="110">
        <v>100</v>
      </c>
      <c r="G117" s="119">
        <v>99.9</v>
      </c>
      <c r="H117" s="258">
        <v>239.2549</v>
      </c>
      <c r="I117" s="258">
        <v>61.944</v>
      </c>
      <c r="J117" s="259">
        <v>0.0575</v>
      </c>
      <c r="K117" s="119">
        <v>11.83</v>
      </c>
    </row>
    <row r="118" spans="1:11" ht="12.75">
      <c r="A118" s="85" t="s">
        <v>850</v>
      </c>
      <c r="B118" s="86" t="s">
        <v>851</v>
      </c>
      <c r="C118" s="109" t="str">
        <f t="shared" si="1"/>
        <v>2 lat/a od dnia zakupu</v>
      </c>
      <c r="D118" s="109">
        <v>39845</v>
      </c>
      <c r="E118" s="109">
        <v>39872</v>
      </c>
      <c r="F118" s="110">
        <v>100</v>
      </c>
      <c r="G118" s="119">
        <v>99.9</v>
      </c>
      <c r="H118" s="258">
        <v>157.2022</v>
      </c>
      <c r="I118" s="258">
        <v>60.0907</v>
      </c>
      <c r="J118" s="259">
        <v>0.0525</v>
      </c>
      <c r="K118" s="119">
        <v>10.78</v>
      </c>
    </row>
    <row r="119" spans="1:11" ht="12.75">
      <c r="A119" s="85" t="s">
        <v>858</v>
      </c>
      <c r="B119" s="86" t="s">
        <v>859</v>
      </c>
      <c r="C119" s="109" t="str">
        <f t="shared" si="1"/>
        <v>2 lat/a od dnia zakupu</v>
      </c>
      <c r="D119" s="109">
        <v>39873</v>
      </c>
      <c r="E119" s="109">
        <v>39903</v>
      </c>
      <c r="F119" s="110">
        <v>100</v>
      </c>
      <c r="G119" s="119">
        <v>99.9</v>
      </c>
      <c r="H119" s="258">
        <v>305.935</v>
      </c>
      <c r="I119" s="258">
        <v>42.576</v>
      </c>
      <c r="J119" s="259">
        <v>0.055</v>
      </c>
      <c r="K119" s="119">
        <v>11.3</v>
      </c>
    </row>
    <row r="120" spans="1:11" ht="12.75">
      <c r="A120" s="85" t="s">
        <v>864</v>
      </c>
      <c r="B120" s="86" t="s">
        <v>865</v>
      </c>
      <c r="C120" s="109" t="str">
        <f t="shared" si="1"/>
        <v>2 lat/a od dnia zakupu</v>
      </c>
      <c r="D120" s="109">
        <v>39904</v>
      </c>
      <c r="E120" s="109">
        <v>39933</v>
      </c>
      <c r="F120" s="110">
        <v>100</v>
      </c>
      <c r="G120" s="119">
        <v>99.9</v>
      </c>
      <c r="H120" s="258">
        <v>188.0298</v>
      </c>
      <c r="I120" s="258">
        <v>37.7849</v>
      </c>
      <c r="J120" s="259">
        <v>0.055</v>
      </c>
      <c r="K120" s="119">
        <v>11.3</v>
      </c>
    </row>
    <row r="121" spans="1:11" ht="12.75">
      <c r="A121" s="85" t="s">
        <v>869</v>
      </c>
      <c r="B121" s="86" t="s">
        <v>870</v>
      </c>
      <c r="C121" s="109" t="str">
        <f t="shared" si="1"/>
        <v>2 lat/a od dnia zakupu</v>
      </c>
      <c r="D121" s="109">
        <v>39934</v>
      </c>
      <c r="E121" s="109">
        <v>39964</v>
      </c>
      <c r="F121" s="110">
        <v>100</v>
      </c>
      <c r="G121" s="119">
        <v>99.9</v>
      </c>
      <c r="H121" s="258">
        <v>200.3356</v>
      </c>
      <c r="I121" s="258">
        <v>62.1648</v>
      </c>
      <c r="J121" s="259">
        <v>0.055</v>
      </c>
      <c r="K121" s="119">
        <v>11.3</v>
      </c>
    </row>
    <row r="122" spans="1:11" ht="12.75">
      <c r="A122" s="85" t="s">
        <v>873</v>
      </c>
      <c r="B122" s="86" t="s">
        <v>874</v>
      </c>
      <c r="C122" s="109" t="str">
        <f t="shared" si="1"/>
        <v>2 lat/a od dnia zakupu</v>
      </c>
      <c r="D122" s="109">
        <v>39965</v>
      </c>
      <c r="E122" s="109">
        <v>39994</v>
      </c>
      <c r="F122" s="110">
        <v>100</v>
      </c>
      <c r="G122" s="119">
        <v>99.9</v>
      </c>
      <c r="H122" s="258">
        <v>190.993</v>
      </c>
      <c r="I122" s="258">
        <v>48.2322</v>
      </c>
      <c r="J122" s="259">
        <v>0.055</v>
      </c>
      <c r="K122" s="119">
        <v>11.3</v>
      </c>
    </row>
    <row r="123" spans="1:11" ht="12.75">
      <c r="A123" s="85" t="s">
        <v>881</v>
      </c>
      <c r="B123" s="86" t="s">
        <v>882</v>
      </c>
      <c r="C123" s="109" t="str">
        <f t="shared" si="1"/>
        <v>2 lat/a od dnia zakupu</v>
      </c>
      <c r="D123" s="109">
        <v>39995</v>
      </c>
      <c r="E123" s="109">
        <v>40025</v>
      </c>
      <c r="F123" s="110">
        <v>100</v>
      </c>
      <c r="G123" s="119">
        <v>99.9</v>
      </c>
      <c r="H123" s="258">
        <v>112.6535</v>
      </c>
      <c r="I123" s="258">
        <v>42.8292</v>
      </c>
      <c r="J123" s="259">
        <v>0.05</v>
      </c>
      <c r="K123" s="119">
        <v>10.25</v>
      </c>
    </row>
    <row r="124" spans="1:11" ht="12.75">
      <c r="A124" s="85" t="s">
        <v>883</v>
      </c>
      <c r="B124" s="86" t="s">
        <v>886</v>
      </c>
      <c r="C124" s="109" t="str">
        <f t="shared" si="1"/>
        <v>2 lat/a od dnia zakupu</v>
      </c>
      <c r="D124" s="109">
        <v>40026</v>
      </c>
      <c r="E124" s="109">
        <v>40056</v>
      </c>
      <c r="F124" s="110">
        <v>100</v>
      </c>
      <c r="G124" s="119">
        <v>99.9</v>
      </c>
      <c r="H124" s="258">
        <v>105.277</v>
      </c>
      <c r="I124" s="258">
        <v>61.3766</v>
      </c>
      <c r="J124" s="259">
        <v>0.0475</v>
      </c>
      <c r="K124" s="119">
        <v>9.73</v>
      </c>
    </row>
    <row r="125" spans="1:11" ht="12.75">
      <c r="A125" s="85" t="s">
        <v>895</v>
      </c>
      <c r="B125" s="86" t="s">
        <v>896</v>
      </c>
      <c r="C125" s="109" t="str">
        <f t="shared" si="1"/>
        <v>2 lat/a od dnia zakupu</v>
      </c>
      <c r="D125" s="109">
        <v>40057</v>
      </c>
      <c r="E125" s="109">
        <v>40086</v>
      </c>
      <c r="F125" s="110">
        <v>100</v>
      </c>
      <c r="G125" s="119">
        <v>99.9</v>
      </c>
      <c r="H125" s="258">
        <v>160.4545</v>
      </c>
      <c r="I125" s="258">
        <v>72.4739</v>
      </c>
      <c r="J125" s="259">
        <v>0.0475</v>
      </c>
      <c r="K125" s="119">
        <v>9.73</v>
      </c>
    </row>
    <row r="126" spans="1:11" ht="12.75">
      <c r="A126" s="85" t="s">
        <v>905</v>
      </c>
      <c r="B126" s="86" t="s">
        <v>906</v>
      </c>
      <c r="C126" s="109" t="str">
        <f t="shared" si="1"/>
        <v>2 lat/a od dnia zakupu</v>
      </c>
      <c r="D126" s="109">
        <v>40087</v>
      </c>
      <c r="E126" s="109">
        <v>40117</v>
      </c>
      <c r="F126" s="110">
        <v>100</v>
      </c>
      <c r="G126" s="119">
        <v>99.9</v>
      </c>
      <c r="H126" s="258">
        <v>98.0938</v>
      </c>
      <c r="I126" s="258">
        <v>53.8671</v>
      </c>
      <c r="J126" s="259">
        <v>0.0475</v>
      </c>
      <c r="K126" s="119">
        <v>9.73</v>
      </c>
    </row>
    <row r="127" spans="1:11" ht="12.75">
      <c r="A127" s="85" t="s">
        <v>907</v>
      </c>
      <c r="B127" s="86" t="s">
        <v>908</v>
      </c>
      <c r="C127" s="109" t="str">
        <f t="shared" si="1"/>
        <v>2 lat/a od dnia zakupu</v>
      </c>
      <c r="D127" s="109">
        <v>40118</v>
      </c>
      <c r="E127" s="109">
        <v>40147</v>
      </c>
      <c r="F127" s="110">
        <v>100</v>
      </c>
      <c r="G127" s="119">
        <v>99.9</v>
      </c>
      <c r="H127" s="258">
        <v>151.2343</v>
      </c>
      <c r="I127" s="258">
        <v>101.0214</v>
      </c>
      <c r="J127" s="259">
        <v>0.0475</v>
      </c>
      <c r="K127" s="119">
        <v>9.73</v>
      </c>
    </row>
    <row r="128" spans="1:11" s="25" customFormat="1" ht="12.75">
      <c r="A128" s="90" t="s">
        <v>915</v>
      </c>
      <c r="B128" s="91" t="s">
        <v>916</v>
      </c>
      <c r="C128" s="111" t="str">
        <f t="shared" si="1"/>
        <v>2 lat/a od dnia zakupu</v>
      </c>
      <c r="D128" s="111">
        <v>40148</v>
      </c>
      <c r="E128" s="111">
        <v>40178</v>
      </c>
      <c r="F128" s="112">
        <v>100</v>
      </c>
      <c r="G128" s="121">
        <v>99.9</v>
      </c>
      <c r="H128" s="256">
        <v>273.842</v>
      </c>
      <c r="I128" s="256">
        <v>203.6191</v>
      </c>
      <c r="J128" s="257">
        <v>0.0475</v>
      </c>
      <c r="K128" s="121">
        <v>9.73</v>
      </c>
    </row>
    <row r="129" spans="1:11" ht="12.75">
      <c r="A129" s="85" t="s">
        <v>921</v>
      </c>
      <c r="B129" s="86" t="s">
        <v>926</v>
      </c>
      <c r="C129" s="109" t="str">
        <f t="shared" si="1"/>
        <v>2 lat/a od dnia zakupu</v>
      </c>
      <c r="D129" s="109">
        <v>40179</v>
      </c>
      <c r="E129" s="109">
        <v>40209</v>
      </c>
      <c r="F129" s="110">
        <v>100</v>
      </c>
      <c r="G129" s="119">
        <v>99.9</v>
      </c>
      <c r="H129" s="258">
        <v>253.4215</v>
      </c>
      <c r="I129" s="258">
        <v>188.3211</v>
      </c>
      <c r="J129" s="259">
        <v>0.0475</v>
      </c>
      <c r="K129" s="119">
        <v>9.73</v>
      </c>
    </row>
    <row r="130" spans="1:11" ht="12.75">
      <c r="A130" s="85" t="s">
        <v>924</v>
      </c>
      <c r="B130" s="86" t="s">
        <v>925</v>
      </c>
      <c r="C130" s="109" t="str">
        <f t="shared" si="1"/>
        <v>2 lat/a od dnia zakupu</v>
      </c>
      <c r="D130" s="109">
        <v>40210</v>
      </c>
      <c r="E130" s="109">
        <v>40237</v>
      </c>
      <c r="F130" s="110">
        <v>100</v>
      </c>
      <c r="G130" s="119">
        <v>99.9</v>
      </c>
      <c r="H130" s="258">
        <v>81.2845</v>
      </c>
      <c r="I130" s="258">
        <v>55.7394</v>
      </c>
      <c r="J130" s="259">
        <v>0.045</v>
      </c>
      <c r="K130" s="119">
        <v>9.2</v>
      </c>
    </row>
    <row r="131" spans="1:11" ht="12.75">
      <c r="A131" s="85" t="s">
        <v>935</v>
      </c>
      <c r="B131" s="86" t="s">
        <v>939</v>
      </c>
      <c r="C131" s="109" t="str">
        <f t="shared" si="1"/>
        <v>2 lat/a od dnia zakupu</v>
      </c>
      <c r="D131" s="109">
        <v>40238</v>
      </c>
      <c r="E131" s="109">
        <v>40268</v>
      </c>
      <c r="F131" s="110">
        <v>100</v>
      </c>
      <c r="G131" s="119">
        <v>99.9</v>
      </c>
      <c r="H131" s="258">
        <v>90.6681</v>
      </c>
      <c r="I131" s="258">
        <v>61.6231</v>
      </c>
      <c r="J131" s="259">
        <v>0.045</v>
      </c>
      <c r="K131" s="119">
        <v>9.2</v>
      </c>
    </row>
    <row r="132" spans="1:11" ht="12.75">
      <c r="A132" s="85" t="s">
        <v>938</v>
      </c>
      <c r="B132" s="86" t="s">
        <v>940</v>
      </c>
      <c r="C132" s="109" t="str">
        <f aca="true" t="shared" si="2" ref="C132:C214">"2"&amp;WykupCOI</f>
        <v>2 lat/a od dnia zakupu</v>
      </c>
      <c r="D132" s="109">
        <v>40269</v>
      </c>
      <c r="E132" s="109">
        <v>40298</v>
      </c>
      <c r="F132" s="110">
        <v>100</v>
      </c>
      <c r="G132" s="119">
        <v>99.9</v>
      </c>
      <c r="H132" s="258">
        <v>63.3024</v>
      </c>
      <c r="I132" s="258">
        <v>40.6484</v>
      </c>
      <c r="J132" s="259">
        <v>0.0425</v>
      </c>
      <c r="K132" s="119">
        <v>8.68</v>
      </c>
    </row>
    <row r="133" spans="1:11" ht="12.75">
      <c r="A133" s="85" t="s">
        <v>953</v>
      </c>
      <c r="B133" s="86" t="s">
        <v>954</v>
      </c>
      <c r="C133" s="109" t="str">
        <f t="shared" si="2"/>
        <v>2 lat/a od dnia zakupu</v>
      </c>
      <c r="D133" s="109">
        <v>40299</v>
      </c>
      <c r="E133" s="109">
        <v>40329</v>
      </c>
      <c r="F133" s="110">
        <v>100</v>
      </c>
      <c r="G133" s="119">
        <v>99.9</v>
      </c>
      <c r="H133" s="258">
        <v>49.8433</v>
      </c>
      <c r="I133" s="258">
        <v>34.9174</v>
      </c>
      <c r="J133" s="259">
        <v>0.04</v>
      </c>
      <c r="K133" s="119">
        <v>8.16</v>
      </c>
    </row>
    <row r="134" spans="1:11" ht="12.75">
      <c r="A134" s="85" t="s">
        <v>955</v>
      </c>
      <c r="B134" s="86" t="s">
        <v>960</v>
      </c>
      <c r="C134" s="109" t="str">
        <f t="shared" si="2"/>
        <v>2 lat/a od dnia zakupu</v>
      </c>
      <c r="D134" s="109">
        <v>40330</v>
      </c>
      <c r="E134" s="109">
        <v>40359</v>
      </c>
      <c r="F134" s="110">
        <v>100</v>
      </c>
      <c r="G134" s="119">
        <v>99.9</v>
      </c>
      <c r="H134" s="258">
        <v>74.359</v>
      </c>
      <c r="I134" s="258">
        <v>53.851</v>
      </c>
      <c r="J134" s="259">
        <v>0.04</v>
      </c>
      <c r="K134" s="119">
        <v>8.16</v>
      </c>
    </row>
    <row r="135" spans="1:11" ht="12.75">
      <c r="A135" s="85" t="s">
        <v>961</v>
      </c>
      <c r="B135" s="86" t="s">
        <v>964</v>
      </c>
      <c r="C135" s="109" t="str">
        <f t="shared" si="2"/>
        <v>2 lat/a od dnia zakupu</v>
      </c>
      <c r="D135" s="109">
        <v>40360</v>
      </c>
      <c r="E135" s="109">
        <v>40390</v>
      </c>
      <c r="F135" s="110">
        <v>100</v>
      </c>
      <c r="G135" s="119">
        <v>99.9</v>
      </c>
      <c r="H135" s="258">
        <v>129.4393</v>
      </c>
      <c r="I135" s="258">
        <v>99.2715</v>
      </c>
      <c r="J135" s="259">
        <v>0.04</v>
      </c>
      <c r="K135" s="119">
        <v>8.16</v>
      </c>
    </row>
    <row r="136" spans="1:11" ht="12.75">
      <c r="A136" s="85" t="s">
        <v>969</v>
      </c>
      <c r="B136" s="86" t="s">
        <v>970</v>
      </c>
      <c r="C136" s="109" t="str">
        <f t="shared" si="2"/>
        <v>2 lat/a od dnia zakupu</v>
      </c>
      <c r="D136" s="109">
        <v>40391</v>
      </c>
      <c r="E136" s="109">
        <v>40421</v>
      </c>
      <c r="F136" s="110">
        <v>100</v>
      </c>
      <c r="G136" s="119">
        <v>99.9</v>
      </c>
      <c r="H136" s="258">
        <v>136.9178</v>
      </c>
      <c r="I136" s="258">
        <v>106.682</v>
      </c>
      <c r="J136" s="259">
        <v>0.04</v>
      </c>
      <c r="K136" s="119">
        <v>8.16</v>
      </c>
    </row>
    <row r="137" spans="1:11" ht="12.75">
      <c r="A137" s="85" t="s">
        <v>975</v>
      </c>
      <c r="B137" s="86" t="s">
        <v>976</v>
      </c>
      <c r="C137" s="109" t="str">
        <f t="shared" si="2"/>
        <v>2 lat/a od dnia zakupu</v>
      </c>
      <c r="D137" s="109">
        <v>40422</v>
      </c>
      <c r="E137" s="109">
        <v>40451</v>
      </c>
      <c r="F137" s="110">
        <v>100</v>
      </c>
      <c r="G137" s="119">
        <v>99.9</v>
      </c>
      <c r="H137" s="258">
        <v>97.134</v>
      </c>
      <c r="I137" s="258">
        <v>71.714</v>
      </c>
      <c r="J137" s="259">
        <v>0.04</v>
      </c>
      <c r="K137" s="119">
        <v>8.16</v>
      </c>
    </row>
    <row r="138" spans="1:11" ht="12.75">
      <c r="A138" s="85" t="s">
        <v>981</v>
      </c>
      <c r="B138" s="86" t="s">
        <v>982</v>
      </c>
      <c r="C138" s="109" t="str">
        <f t="shared" si="2"/>
        <v>2 lat/a od dnia zakupu</v>
      </c>
      <c r="D138" s="109">
        <v>40452</v>
      </c>
      <c r="E138" s="109">
        <v>40482</v>
      </c>
      <c r="F138" s="110">
        <v>100</v>
      </c>
      <c r="G138" s="119">
        <v>99.9</v>
      </c>
      <c r="H138" s="258">
        <v>141.2591</v>
      </c>
      <c r="I138" s="258">
        <v>112.7471</v>
      </c>
      <c r="J138" s="259">
        <v>0.04</v>
      </c>
      <c r="K138" s="119">
        <v>8.16</v>
      </c>
    </row>
    <row r="139" spans="1:11" ht="12.75">
      <c r="A139" s="85" t="s">
        <v>989</v>
      </c>
      <c r="B139" s="86" t="s">
        <v>990</v>
      </c>
      <c r="C139" s="109" t="str">
        <f t="shared" si="2"/>
        <v>2 lat/a od dnia zakupu</v>
      </c>
      <c r="D139" s="109">
        <v>40483</v>
      </c>
      <c r="E139" s="109">
        <v>40512</v>
      </c>
      <c r="F139" s="110">
        <v>100</v>
      </c>
      <c r="G139" s="119">
        <v>99.9</v>
      </c>
      <c r="H139" s="258">
        <v>110.5965</v>
      </c>
      <c r="I139" s="258">
        <v>83.7011</v>
      </c>
      <c r="J139" s="259">
        <v>0.04</v>
      </c>
      <c r="K139" s="119">
        <v>8.16</v>
      </c>
    </row>
    <row r="140" spans="1:11" s="25" customFormat="1" ht="12.75">
      <c r="A140" s="90" t="s">
        <v>995</v>
      </c>
      <c r="B140" s="91" t="s">
        <v>996</v>
      </c>
      <c r="C140" s="111" t="str">
        <f t="shared" si="2"/>
        <v>2 lat/a od dnia zakupu</v>
      </c>
      <c r="D140" s="111">
        <v>40513</v>
      </c>
      <c r="E140" s="111">
        <v>40543</v>
      </c>
      <c r="F140" s="112">
        <v>100</v>
      </c>
      <c r="G140" s="121">
        <v>99.9</v>
      </c>
      <c r="H140" s="256">
        <v>95.1659</v>
      </c>
      <c r="I140" s="256">
        <v>69.7805</v>
      </c>
      <c r="J140" s="257">
        <v>0.04</v>
      </c>
      <c r="K140" s="121">
        <v>8.16</v>
      </c>
    </row>
    <row r="141" spans="1:11" ht="12.75">
      <c r="A141" s="85" t="s">
        <v>1001</v>
      </c>
      <c r="B141" s="86" t="s">
        <v>1002</v>
      </c>
      <c r="C141" s="109" t="str">
        <f t="shared" si="2"/>
        <v>2 lat/a od dnia zakupu</v>
      </c>
      <c r="D141" s="109">
        <v>40544</v>
      </c>
      <c r="E141" s="109">
        <v>40574</v>
      </c>
      <c r="F141" s="110">
        <v>100</v>
      </c>
      <c r="G141" s="119">
        <v>99.9</v>
      </c>
      <c r="H141" s="258">
        <v>69.2947</v>
      </c>
      <c r="I141" s="258">
        <v>52.4291</v>
      </c>
      <c r="J141" s="259">
        <v>0.04</v>
      </c>
      <c r="K141" s="119">
        <v>8.16</v>
      </c>
    </row>
    <row r="142" spans="1:11" ht="12.75">
      <c r="A142" s="85" t="s">
        <v>1009</v>
      </c>
      <c r="B142" s="86" t="s">
        <v>1012</v>
      </c>
      <c r="C142" s="109" t="str">
        <f t="shared" si="2"/>
        <v>2 lat/a od dnia zakupu</v>
      </c>
      <c r="D142" s="109">
        <v>40575</v>
      </c>
      <c r="E142" s="109">
        <v>40602</v>
      </c>
      <c r="F142" s="110">
        <v>100</v>
      </c>
      <c r="G142" s="119">
        <v>99.9</v>
      </c>
      <c r="H142" s="258">
        <v>96.2269</v>
      </c>
      <c r="I142" s="258">
        <v>53.7446</v>
      </c>
      <c r="J142" s="259">
        <v>0.045</v>
      </c>
      <c r="K142" s="119">
        <v>9.2</v>
      </c>
    </row>
    <row r="143" spans="1:11" ht="12.75">
      <c r="A143" s="85" t="s">
        <v>1010</v>
      </c>
      <c r="B143" s="86" t="s">
        <v>1011</v>
      </c>
      <c r="C143" s="109" t="str">
        <f t="shared" si="2"/>
        <v>2 lat/a od dnia zakupu</v>
      </c>
      <c r="D143" s="109">
        <v>40603</v>
      </c>
      <c r="E143" s="109">
        <v>40633</v>
      </c>
      <c r="F143" s="110">
        <v>100</v>
      </c>
      <c r="G143" s="119">
        <v>99.9</v>
      </c>
      <c r="H143" s="258">
        <v>145.2814</v>
      </c>
      <c r="I143" s="258">
        <v>99.498</v>
      </c>
      <c r="J143" s="259">
        <v>0.045</v>
      </c>
      <c r="K143" s="119">
        <v>9.2</v>
      </c>
    </row>
    <row r="144" spans="1:11" ht="12.75">
      <c r="A144" s="85" t="s">
        <v>1028</v>
      </c>
      <c r="B144" s="86" t="s">
        <v>1029</v>
      </c>
      <c r="C144" s="109" t="str">
        <f t="shared" si="2"/>
        <v>2 lat/a od dnia zakupu</v>
      </c>
      <c r="D144" s="109">
        <v>40634</v>
      </c>
      <c r="E144" s="109">
        <v>40663</v>
      </c>
      <c r="F144" s="110">
        <v>100</v>
      </c>
      <c r="G144" s="119">
        <v>99.9</v>
      </c>
      <c r="H144" s="258">
        <v>94.2009</v>
      </c>
      <c r="I144" s="258">
        <v>64.2021</v>
      </c>
      <c r="J144" s="259">
        <v>0.045</v>
      </c>
      <c r="K144" s="119">
        <v>9.2</v>
      </c>
    </row>
    <row r="145" spans="1:11" ht="12.75">
      <c r="A145" s="85" t="s">
        <v>1034</v>
      </c>
      <c r="B145" s="86" t="s">
        <v>1035</v>
      </c>
      <c r="C145" s="109" t="str">
        <f t="shared" si="2"/>
        <v>2 lat/a od dnia zakupu</v>
      </c>
      <c r="D145" s="109">
        <v>40664</v>
      </c>
      <c r="E145" s="109">
        <v>40694</v>
      </c>
      <c r="F145" s="110">
        <v>100</v>
      </c>
      <c r="G145" s="119">
        <v>99.9</v>
      </c>
      <c r="H145" s="258">
        <v>96.4732</v>
      </c>
      <c r="I145" s="258">
        <v>66.2093</v>
      </c>
      <c r="J145" s="259">
        <v>0.045</v>
      </c>
      <c r="K145" s="119">
        <v>9.2</v>
      </c>
    </row>
    <row r="146" spans="1:11" ht="12.75">
      <c r="A146" s="85" t="s">
        <v>1039</v>
      </c>
      <c r="B146" s="86" t="s">
        <v>1044</v>
      </c>
      <c r="C146" s="109" t="str">
        <f t="shared" si="2"/>
        <v>2 lat/a od dnia zakupu</v>
      </c>
      <c r="D146" s="109">
        <v>40695</v>
      </c>
      <c r="E146" s="109">
        <v>40724</v>
      </c>
      <c r="F146" s="110">
        <v>100</v>
      </c>
      <c r="G146" s="119">
        <v>99.9</v>
      </c>
      <c r="H146" s="258">
        <v>86.2337</v>
      </c>
      <c r="I146" s="258">
        <v>58.3388</v>
      </c>
      <c r="J146" s="259">
        <v>0.045</v>
      </c>
      <c r="K146" s="119">
        <v>9.2</v>
      </c>
    </row>
    <row r="147" spans="1:11" ht="12.75">
      <c r="A147" s="85" t="s">
        <v>1045</v>
      </c>
      <c r="B147" s="86" t="s">
        <v>1046</v>
      </c>
      <c r="C147" s="109" t="str">
        <f t="shared" si="2"/>
        <v>2 lat/a od dnia zakupu</v>
      </c>
      <c r="D147" s="109">
        <v>40725</v>
      </c>
      <c r="E147" s="109">
        <v>40755</v>
      </c>
      <c r="F147" s="110">
        <v>100</v>
      </c>
      <c r="G147" s="119">
        <v>99.9</v>
      </c>
      <c r="H147" s="258">
        <v>65.7712</v>
      </c>
      <c r="I147" s="258">
        <v>40.6075</v>
      </c>
      <c r="J147" s="259">
        <v>0.045</v>
      </c>
      <c r="K147" s="119">
        <v>9.2</v>
      </c>
    </row>
    <row r="148" spans="1:11" ht="12.75">
      <c r="A148" s="85" t="s">
        <v>1051</v>
      </c>
      <c r="B148" s="86" t="s">
        <v>1052</v>
      </c>
      <c r="C148" s="109" t="str">
        <f t="shared" si="2"/>
        <v>2 lat/a od dnia zakupu</v>
      </c>
      <c r="D148" s="109">
        <v>40756</v>
      </c>
      <c r="E148" s="109">
        <v>40786</v>
      </c>
      <c r="F148" s="110">
        <v>100</v>
      </c>
      <c r="G148" s="119">
        <v>99.9</v>
      </c>
      <c r="H148" s="258">
        <v>69.6957</v>
      </c>
      <c r="I148" s="258">
        <v>45.6719</v>
      </c>
      <c r="J148" s="259">
        <v>0.045</v>
      </c>
      <c r="K148" s="119">
        <v>9.2</v>
      </c>
    </row>
    <row r="149" spans="1:11" ht="12.75">
      <c r="A149" s="85" t="s">
        <v>1055</v>
      </c>
      <c r="B149" s="86" t="s">
        <v>1056</v>
      </c>
      <c r="C149" s="109" t="str">
        <f t="shared" si="2"/>
        <v>2 lat/a od dnia zakupu</v>
      </c>
      <c r="D149" s="109">
        <v>40787</v>
      </c>
      <c r="E149" s="109">
        <v>40816</v>
      </c>
      <c r="F149" s="110">
        <v>100</v>
      </c>
      <c r="G149" s="119">
        <v>99.9</v>
      </c>
      <c r="H149" s="258">
        <v>68.7206</v>
      </c>
      <c r="I149" s="258">
        <v>47.2874</v>
      </c>
      <c r="J149" s="259">
        <v>0.045</v>
      </c>
      <c r="K149" s="119">
        <v>9.2</v>
      </c>
    </row>
    <row r="150" spans="1:11" ht="12.75">
      <c r="A150" s="85" t="s">
        <v>1060</v>
      </c>
      <c r="B150" s="86" t="s">
        <v>1061</v>
      </c>
      <c r="C150" s="109" t="str">
        <f t="shared" si="2"/>
        <v>2 lat/a od dnia zakupu</v>
      </c>
      <c r="D150" s="109">
        <v>40817</v>
      </c>
      <c r="E150" s="109">
        <v>40847</v>
      </c>
      <c r="F150" s="110">
        <v>100</v>
      </c>
      <c r="G150" s="119">
        <v>99.9</v>
      </c>
      <c r="H150" s="258">
        <v>59.5608</v>
      </c>
      <c r="I150" s="258">
        <v>38.7567</v>
      </c>
      <c r="J150" s="259">
        <v>0.045</v>
      </c>
      <c r="K150" s="119">
        <v>9.2</v>
      </c>
    </row>
    <row r="151" spans="1:11" ht="12.75">
      <c r="A151" s="85" t="s">
        <v>1065</v>
      </c>
      <c r="B151" s="86" t="s">
        <v>1066</v>
      </c>
      <c r="C151" s="109" t="str">
        <f t="shared" si="2"/>
        <v>2 lat/a od dnia zakupu</v>
      </c>
      <c r="D151" s="109">
        <v>40848</v>
      </c>
      <c r="E151" s="109">
        <v>40877</v>
      </c>
      <c r="F151" s="110">
        <v>100</v>
      </c>
      <c r="G151" s="119">
        <v>99.9</v>
      </c>
      <c r="H151" s="258">
        <v>80.0531</v>
      </c>
      <c r="I151" s="258">
        <v>62.281</v>
      </c>
      <c r="J151" s="259">
        <v>0.045</v>
      </c>
      <c r="K151" s="119">
        <v>9.2</v>
      </c>
    </row>
    <row r="152" spans="1:11" s="25" customFormat="1" ht="12.75">
      <c r="A152" s="90" t="s">
        <v>1073</v>
      </c>
      <c r="B152" s="91" t="s">
        <v>1074</v>
      </c>
      <c r="C152" s="111" t="str">
        <f t="shared" si="2"/>
        <v>2 lat/a od dnia zakupu</v>
      </c>
      <c r="D152" s="111">
        <v>40878</v>
      </c>
      <c r="E152" s="111">
        <v>40908</v>
      </c>
      <c r="F152" s="112">
        <v>100</v>
      </c>
      <c r="G152" s="121">
        <v>99.9</v>
      </c>
      <c r="H152" s="256">
        <v>136.941</v>
      </c>
      <c r="I152" s="256">
        <v>109.6535</v>
      </c>
      <c r="J152" s="257">
        <v>0.045</v>
      </c>
      <c r="K152" s="121">
        <v>9.2</v>
      </c>
    </row>
    <row r="153" spans="1:11" ht="12.75">
      <c r="A153" s="85" t="s">
        <v>1079</v>
      </c>
      <c r="B153" s="86" t="s">
        <v>1080</v>
      </c>
      <c r="C153" s="109" t="str">
        <f t="shared" si="2"/>
        <v>2 lat/a od dnia zakupu</v>
      </c>
      <c r="D153" s="109">
        <v>40909</v>
      </c>
      <c r="E153" s="109">
        <v>40939</v>
      </c>
      <c r="F153" s="110">
        <v>100</v>
      </c>
      <c r="G153" s="119">
        <v>99.9</v>
      </c>
      <c r="H153" s="258">
        <v>123.1195</v>
      </c>
      <c r="I153" s="258">
        <v>101.8179</v>
      </c>
      <c r="J153" s="259">
        <v>0.045</v>
      </c>
      <c r="K153" s="119">
        <v>9.2</v>
      </c>
    </row>
    <row r="154" spans="1:11" ht="12.75">
      <c r="A154" s="85" t="s">
        <v>1092</v>
      </c>
      <c r="B154" s="86" t="s">
        <v>1085</v>
      </c>
      <c r="C154" s="109" t="str">
        <f t="shared" si="2"/>
        <v>2 lat/a od dnia zakupu</v>
      </c>
      <c r="D154" s="109">
        <v>40940</v>
      </c>
      <c r="E154" s="109">
        <v>40967</v>
      </c>
      <c r="F154" s="110">
        <v>100</v>
      </c>
      <c r="G154" s="119">
        <v>99.9</v>
      </c>
      <c r="H154" s="258">
        <v>69.117</v>
      </c>
      <c r="I154" s="258">
        <v>39.4318</v>
      </c>
      <c r="J154" s="259">
        <v>0.0475</v>
      </c>
      <c r="K154" s="119">
        <v>9.73</v>
      </c>
    </row>
    <row r="155" spans="1:11" ht="12.75">
      <c r="A155" s="85" t="s">
        <v>1093</v>
      </c>
      <c r="B155" s="86" t="s">
        <v>1096</v>
      </c>
      <c r="C155" s="109" t="str">
        <f t="shared" si="2"/>
        <v>2 lat/a od dnia zakupu</v>
      </c>
      <c r="D155" s="109">
        <v>40969</v>
      </c>
      <c r="E155" s="109">
        <v>40999</v>
      </c>
      <c r="F155" s="110">
        <v>100</v>
      </c>
      <c r="G155" s="119">
        <v>99.9</v>
      </c>
      <c r="H155" s="258">
        <v>76.8977</v>
      </c>
      <c r="I155" s="258">
        <v>47.1622</v>
      </c>
      <c r="J155" s="259">
        <v>0.0475</v>
      </c>
      <c r="K155" s="119">
        <v>9.73</v>
      </c>
    </row>
    <row r="156" spans="1:11" ht="12.75">
      <c r="A156" s="85" t="s">
        <v>1099</v>
      </c>
      <c r="B156" s="86" t="s">
        <v>1100</v>
      </c>
      <c r="C156" s="109" t="str">
        <f t="shared" si="2"/>
        <v>2 lat/a od dnia zakupu</v>
      </c>
      <c r="D156" s="109">
        <v>41000</v>
      </c>
      <c r="E156" s="109">
        <v>41029</v>
      </c>
      <c r="F156" s="110">
        <v>100</v>
      </c>
      <c r="G156" s="119">
        <v>99.9</v>
      </c>
      <c r="H156" s="258">
        <v>50.0602</v>
      </c>
      <c r="I156" s="258">
        <v>31.709</v>
      </c>
      <c r="J156" s="259">
        <v>0.0475</v>
      </c>
      <c r="K156" s="119">
        <v>9.73</v>
      </c>
    </row>
    <row r="157" spans="1:11" ht="12.75">
      <c r="A157" s="85" t="s">
        <v>1104</v>
      </c>
      <c r="B157" s="86" t="s">
        <v>1105</v>
      </c>
      <c r="C157" s="109" t="str">
        <f t="shared" si="2"/>
        <v>2 lat/a od dnia zakupu</v>
      </c>
      <c r="D157" s="109">
        <v>41030</v>
      </c>
      <c r="E157" s="109">
        <v>41060</v>
      </c>
      <c r="F157" s="110">
        <v>100</v>
      </c>
      <c r="G157" s="119">
        <v>99.9</v>
      </c>
      <c r="H157" s="258">
        <v>42.258</v>
      </c>
      <c r="I157" s="258">
        <v>26.0673</v>
      </c>
      <c r="J157" s="259">
        <v>0.0475</v>
      </c>
      <c r="K157" s="119">
        <v>9.73</v>
      </c>
    </row>
    <row r="158" spans="1:11" ht="12.75">
      <c r="A158" s="85" t="s">
        <v>1113</v>
      </c>
      <c r="B158" s="86" t="s">
        <v>1114</v>
      </c>
      <c r="C158" s="109" t="str">
        <f t="shared" si="2"/>
        <v>2 lat/a od dnia zakupu</v>
      </c>
      <c r="D158" s="109">
        <v>41061</v>
      </c>
      <c r="E158" s="109">
        <v>41090</v>
      </c>
      <c r="F158" s="110">
        <v>100</v>
      </c>
      <c r="G158" s="119">
        <v>99.9</v>
      </c>
      <c r="H158" s="258">
        <v>44.7166</v>
      </c>
      <c r="I158" s="258">
        <v>31.6819</v>
      </c>
      <c r="J158" s="259">
        <v>0.0475</v>
      </c>
      <c r="K158" s="119">
        <v>9.73</v>
      </c>
    </row>
    <row r="159" spans="1:11" ht="12.75">
      <c r="A159" s="85" t="s">
        <v>1121</v>
      </c>
      <c r="B159" s="86" t="s">
        <v>1122</v>
      </c>
      <c r="C159" s="109" t="str">
        <f t="shared" si="2"/>
        <v>2 lat/a od dnia zakupu</v>
      </c>
      <c r="D159" s="109">
        <v>41091</v>
      </c>
      <c r="E159" s="109">
        <v>41121</v>
      </c>
      <c r="F159" s="110">
        <v>100</v>
      </c>
      <c r="G159" s="119">
        <v>99.9</v>
      </c>
      <c r="H159" s="258">
        <v>75.3067</v>
      </c>
      <c r="I159" s="258">
        <v>56.429</v>
      </c>
      <c r="J159" s="259">
        <v>0.0475</v>
      </c>
      <c r="K159" s="119">
        <v>9.73</v>
      </c>
    </row>
    <row r="160" spans="1:11" ht="12.75">
      <c r="A160" s="85" t="s">
        <v>1128</v>
      </c>
      <c r="B160" s="86" t="s">
        <v>1129</v>
      </c>
      <c r="C160" s="109" t="str">
        <f t="shared" si="2"/>
        <v>2 lat/a od dnia zakupu</v>
      </c>
      <c r="D160" s="109">
        <v>41122</v>
      </c>
      <c r="E160" s="109">
        <v>41122</v>
      </c>
      <c r="F160" s="110">
        <v>100</v>
      </c>
      <c r="G160" s="119">
        <v>99.9</v>
      </c>
      <c r="H160" s="258">
        <v>76.02</v>
      </c>
      <c r="I160" s="258">
        <v>58.6134</v>
      </c>
      <c r="J160" s="259">
        <v>0.045</v>
      </c>
      <c r="K160" s="119">
        <v>9.2</v>
      </c>
    </row>
    <row r="161" spans="1:11" ht="12.75">
      <c r="A161" s="85" t="s">
        <v>1137</v>
      </c>
      <c r="B161" s="86" t="s">
        <v>1138</v>
      </c>
      <c r="C161" s="109" t="str">
        <f t="shared" si="2"/>
        <v>2 lat/a od dnia zakupu</v>
      </c>
      <c r="D161" s="109">
        <v>41153</v>
      </c>
      <c r="E161" s="109">
        <v>41182</v>
      </c>
      <c r="F161" s="110">
        <v>100</v>
      </c>
      <c r="G161" s="119">
        <v>99.9</v>
      </c>
      <c r="H161" s="258">
        <v>60.1525</v>
      </c>
      <c r="I161" s="258">
        <v>42.7503</v>
      </c>
      <c r="J161" s="259">
        <v>0.045</v>
      </c>
      <c r="K161" s="119">
        <v>9.2</v>
      </c>
    </row>
    <row r="162" spans="1:11" ht="12.75">
      <c r="A162" s="85" t="s">
        <v>1145</v>
      </c>
      <c r="B162" s="86" t="s">
        <v>1146</v>
      </c>
      <c r="C162" s="109" t="str">
        <f t="shared" si="2"/>
        <v>2 lat/a od dnia zakupu</v>
      </c>
      <c r="D162" s="109">
        <v>41183</v>
      </c>
      <c r="E162" s="109">
        <v>41213</v>
      </c>
      <c r="F162" s="110">
        <v>100</v>
      </c>
      <c r="G162" s="119">
        <v>99.9</v>
      </c>
      <c r="H162" s="258">
        <v>60.0453</v>
      </c>
      <c r="I162" s="258">
        <v>48.7897</v>
      </c>
      <c r="J162" s="259">
        <v>0.043</v>
      </c>
      <c r="K162" s="119">
        <v>8.78</v>
      </c>
    </row>
    <row r="163" spans="1:11" ht="12.75">
      <c r="A163" s="85" t="s">
        <v>1153</v>
      </c>
      <c r="B163" s="86" t="s">
        <v>1154</v>
      </c>
      <c r="C163" s="109" t="str">
        <f t="shared" si="2"/>
        <v>2 lat/a od dnia zakupu</v>
      </c>
      <c r="D163" s="109">
        <v>41214</v>
      </c>
      <c r="E163" s="109">
        <v>41243</v>
      </c>
      <c r="F163" s="110">
        <v>100</v>
      </c>
      <c r="G163" s="119">
        <v>99.9</v>
      </c>
      <c r="H163" s="258">
        <v>50.2843</v>
      </c>
      <c r="I163" s="258">
        <v>39.0976</v>
      </c>
      <c r="J163" s="259">
        <v>0.04</v>
      </c>
      <c r="K163" s="119">
        <v>8.16</v>
      </c>
    </row>
    <row r="164" spans="1:11" s="25" customFormat="1" ht="12.75">
      <c r="A164" s="90" t="s">
        <v>1160</v>
      </c>
      <c r="B164" s="91" t="s">
        <v>1161</v>
      </c>
      <c r="C164" s="111" t="str">
        <f t="shared" si="2"/>
        <v>2 lat/a od dnia zakupu</v>
      </c>
      <c r="D164" s="111">
        <v>41244</v>
      </c>
      <c r="E164" s="111">
        <v>41244</v>
      </c>
      <c r="F164" s="112">
        <v>100</v>
      </c>
      <c r="G164" s="121">
        <v>99.9</v>
      </c>
      <c r="H164" s="256">
        <v>36.7695</v>
      </c>
      <c r="I164" s="256">
        <v>26.5128</v>
      </c>
      <c r="J164" s="257">
        <v>0.039</v>
      </c>
      <c r="K164" s="121">
        <v>7.95</v>
      </c>
    </row>
    <row r="165" spans="1:11" ht="12.75">
      <c r="A165" s="85" t="s">
        <v>1169</v>
      </c>
      <c r="B165" s="86" t="s">
        <v>1180</v>
      </c>
      <c r="C165" s="109" t="str">
        <f t="shared" si="2"/>
        <v>2 lat/a od dnia zakupu</v>
      </c>
      <c r="D165" s="109">
        <v>41275</v>
      </c>
      <c r="E165" s="109">
        <v>41305</v>
      </c>
      <c r="F165" s="110">
        <v>100</v>
      </c>
      <c r="G165" s="119">
        <v>99.9</v>
      </c>
      <c r="H165" s="258">
        <v>24.8735</v>
      </c>
      <c r="I165" s="258">
        <v>20.6226</v>
      </c>
      <c r="J165" s="259">
        <v>0.035</v>
      </c>
      <c r="K165" s="119">
        <v>7.12</v>
      </c>
    </row>
    <row r="166" spans="1:11" ht="12.75">
      <c r="A166" s="85" t="s">
        <v>1171</v>
      </c>
      <c r="B166" s="86" t="s">
        <v>1220</v>
      </c>
      <c r="C166" s="109" t="str">
        <f t="shared" si="2"/>
        <v>2 lat/a od dnia zakupu</v>
      </c>
      <c r="D166" s="109">
        <v>41306</v>
      </c>
      <c r="E166" s="109">
        <v>41333</v>
      </c>
      <c r="F166" s="110">
        <v>100</v>
      </c>
      <c r="G166" s="119">
        <v>99.9</v>
      </c>
      <c r="H166" s="258">
        <v>33.5972</v>
      </c>
      <c r="I166" s="258">
        <v>25.4105</v>
      </c>
      <c r="J166" s="259">
        <v>0.035</v>
      </c>
      <c r="K166" s="119">
        <v>7.12</v>
      </c>
    </row>
    <row r="167" spans="1:11" ht="12.75">
      <c r="A167" s="85" t="s">
        <v>1172</v>
      </c>
      <c r="B167" s="86" t="s">
        <v>1224</v>
      </c>
      <c r="C167" s="109" t="str">
        <f t="shared" si="2"/>
        <v>2 lat/a od dnia zakupu</v>
      </c>
      <c r="D167" s="109">
        <v>41334</v>
      </c>
      <c r="E167" s="109">
        <v>41364</v>
      </c>
      <c r="F167" s="110">
        <v>100</v>
      </c>
      <c r="G167" s="119">
        <v>99.9</v>
      </c>
      <c r="H167" s="258">
        <v>61.2656</v>
      </c>
      <c r="I167" s="258">
        <v>44.3203</v>
      </c>
      <c r="J167" s="259">
        <v>0.035</v>
      </c>
      <c r="K167" s="119">
        <v>7.12</v>
      </c>
    </row>
    <row r="168" spans="1:11" ht="12.75">
      <c r="A168" s="85" t="s">
        <v>1170</v>
      </c>
      <c r="B168" s="86" t="s">
        <v>1228</v>
      </c>
      <c r="C168" s="109" t="str">
        <f t="shared" si="2"/>
        <v>2 lat/a od dnia zakupu</v>
      </c>
      <c r="D168" s="109">
        <v>41365</v>
      </c>
      <c r="E168" s="109">
        <v>41394</v>
      </c>
      <c r="F168" s="110">
        <v>100</v>
      </c>
      <c r="G168" s="119">
        <v>99.9</v>
      </c>
      <c r="H168" s="258">
        <v>60.566</v>
      </c>
      <c r="I168" s="258">
        <v>36.4903</v>
      </c>
      <c r="J168" s="259">
        <v>0.035</v>
      </c>
      <c r="K168" s="119">
        <v>7.12</v>
      </c>
    </row>
    <row r="169" spans="1:11" ht="12.75">
      <c r="A169" s="85" t="s">
        <v>1173</v>
      </c>
      <c r="B169" s="86" t="s">
        <v>1232</v>
      </c>
      <c r="C169" s="109" t="str">
        <f t="shared" si="2"/>
        <v>2 lat/a od dnia zakupu</v>
      </c>
      <c r="D169" s="109">
        <v>41395</v>
      </c>
      <c r="E169" s="109">
        <v>41425</v>
      </c>
      <c r="F169" s="110">
        <v>100</v>
      </c>
      <c r="G169" s="119">
        <v>99.9</v>
      </c>
      <c r="H169" s="258">
        <v>52.8325</v>
      </c>
      <c r="I169" s="258">
        <v>36.6264</v>
      </c>
      <c r="J169" s="259">
        <v>0.03</v>
      </c>
      <c r="K169" s="119">
        <v>6.09</v>
      </c>
    </row>
    <row r="170" spans="1:11" ht="12.75">
      <c r="A170" s="85" t="s">
        <v>1174</v>
      </c>
      <c r="B170" s="86" t="s">
        <v>1236</v>
      </c>
      <c r="C170" s="109" t="str">
        <f t="shared" si="2"/>
        <v>2 lat/a od dnia zakupu</v>
      </c>
      <c r="D170" s="109">
        <v>41426</v>
      </c>
      <c r="E170" s="109">
        <v>41455</v>
      </c>
      <c r="F170" s="110">
        <v>100</v>
      </c>
      <c r="G170" s="119">
        <v>99.9</v>
      </c>
      <c r="H170" s="258">
        <v>73.84</v>
      </c>
      <c r="I170" s="258">
        <v>36.4265</v>
      </c>
      <c r="J170" s="259">
        <v>0.03</v>
      </c>
      <c r="K170" s="119">
        <v>6.09</v>
      </c>
    </row>
    <row r="171" spans="1:11" ht="12.75">
      <c r="A171" s="85" t="s">
        <v>1175</v>
      </c>
      <c r="B171" s="86" t="s">
        <v>1243</v>
      </c>
      <c r="C171" s="109" t="str">
        <f t="shared" si="2"/>
        <v>2 lat/a od dnia zakupu</v>
      </c>
      <c r="D171" s="109">
        <v>41456</v>
      </c>
      <c r="E171" s="109">
        <v>41486</v>
      </c>
      <c r="F171" s="110">
        <v>100</v>
      </c>
      <c r="G171" s="119">
        <v>99.9</v>
      </c>
      <c r="H171" s="258">
        <v>95.8026</v>
      </c>
      <c r="I171" s="258">
        <v>34.9133</v>
      </c>
      <c r="J171" s="259">
        <v>0.03</v>
      </c>
      <c r="K171" s="119">
        <v>6.09</v>
      </c>
    </row>
    <row r="172" spans="1:11" ht="12.75">
      <c r="A172" s="85" t="s">
        <v>1176</v>
      </c>
      <c r="B172" s="86" t="s">
        <v>1253</v>
      </c>
      <c r="C172" s="109" t="str">
        <f t="shared" si="2"/>
        <v>2 lat/a od dnia zakupu</v>
      </c>
      <c r="D172" s="109">
        <v>41487</v>
      </c>
      <c r="E172" s="109">
        <v>41517</v>
      </c>
      <c r="F172" s="110">
        <v>100</v>
      </c>
      <c r="G172" s="119">
        <v>99.9</v>
      </c>
      <c r="H172" s="258">
        <v>110.7876</v>
      </c>
      <c r="I172" s="258">
        <v>40.5496</v>
      </c>
      <c r="J172" s="259">
        <v>0.03</v>
      </c>
      <c r="K172" s="119">
        <v>6.09</v>
      </c>
    </row>
    <row r="173" spans="1:11" ht="12.75">
      <c r="A173" s="85" t="s">
        <v>1177</v>
      </c>
      <c r="B173" s="86" t="s">
        <v>1254</v>
      </c>
      <c r="C173" s="109" t="str">
        <f t="shared" si="2"/>
        <v>2 lat/a od dnia zakupu</v>
      </c>
      <c r="D173" s="109">
        <v>41518</v>
      </c>
      <c r="E173" s="109">
        <v>41547</v>
      </c>
      <c r="F173" s="110">
        <v>100</v>
      </c>
      <c r="G173" s="119">
        <v>99.9</v>
      </c>
      <c r="H173" s="258">
        <v>96.2704</v>
      </c>
      <c r="I173" s="258">
        <v>41.8717</v>
      </c>
      <c r="J173" s="259">
        <v>0.03</v>
      </c>
      <c r="K173" s="119">
        <v>6.09</v>
      </c>
    </row>
    <row r="174" spans="1:11" ht="12.75">
      <c r="A174" s="85" t="s">
        <v>1178</v>
      </c>
      <c r="B174" s="86" t="s">
        <v>1258</v>
      </c>
      <c r="C174" s="109" t="str">
        <f t="shared" si="2"/>
        <v>2 lat/a od dnia zakupu</v>
      </c>
      <c r="D174" s="109">
        <v>41548</v>
      </c>
      <c r="E174" s="109">
        <v>41578</v>
      </c>
      <c r="F174" s="110">
        <v>100</v>
      </c>
      <c r="G174" s="119">
        <v>99.9</v>
      </c>
      <c r="H174" s="258">
        <v>110.0069</v>
      </c>
      <c r="I174" s="258">
        <v>36.7534</v>
      </c>
      <c r="J174" s="259">
        <v>0.03</v>
      </c>
      <c r="K174" s="119">
        <v>6.09</v>
      </c>
    </row>
    <row r="175" spans="1:11" ht="12.75">
      <c r="A175" s="85" t="s">
        <v>1179</v>
      </c>
      <c r="B175" s="86" t="s">
        <v>1262</v>
      </c>
      <c r="C175" s="109" t="str">
        <f t="shared" si="2"/>
        <v>2 lat/a od dnia zakupu</v>
      </c>
      <c r="D175" s="109">
        <v>41579</v>
      </c>
      <c r="E175" s="109">
        <v>41608</v>
      </c>
      <c r="F175" s="110">
        <v>100</v>
      </c>
      <c r="G175" s="119">
        <v>99.9</v>
      </c>
      <c r="H175" s="258">
        <v>163.4871</v>
      </c>
      <c r="I175" s="258">
        <v>52.9701</v>
      </c>
      <c r="J175" s="259">
        <v>0.032</v>
      </c>
      <c r="K175" s="119">
        <v>6.5</v>
      </c>
    </row>
    <row r="176" spans="1:11" ht="12.75">
      <c r="A176" s="90" t="s">
        <v>1168</v>
      </c>
      <c r="B176" s="91" t="s">
        <v>1263</v>
      </c>
      <c r="C176" s="111" t="str">
        <f t="shared" si="2"/>
        <v>2 lat/a od dnia zakupu</v>
      </c>
      <c r="D176" s="111">
        <v>41609</v>
      </c>
      <c r="E176" s="111">
        <v>41639</v>
      </c>
      <c r="F176" s="112">
        <v>100</v>
      </c>
      <c r="G176" s="121">
        <v>99.9</v>
      </c>
      <c r="H176" s="256">
        <v>189.8375</v>
      </c>
      <c r="I176" s="256">
        <v>92.2072</v>
      </c>
      <c r="J176" s="257">
        <v>0.03</v>
      </c>
      <c r="K176" s="121">
        <v>6.09</v>
      </c>
    </row>
    <row r="177" spans="1:11" ht="12.75">
      <c r="A177" s="85" t="s">
        <v>1270</v>
      </c>
      <c r="B177" s="86" t="s">
        <v>1272</v>
      </c>
      <c r="C177" s="109" t="str">
        <f t="shared" si="2"/>
        <v>2 lat/a od dnia zakupu</v>
      </c>
      <c r="D177" s="109">
        <v>41640</v>
      </c>
      <c r="E177" s="109">
        <v>41670</v>
      </c>
      <c r="F177" s="110">
        <v>100</v>
      </c>
      <c r="G177" s="119">
        <v>99.9</v>
      </c>
      <c r="H177" s="258">
        <v>171.7155</v>
      </c>
      <c r="I177" s="258">
        <v>83.2772</v>
      </c>
      <c r="J177" s="259">
        <v>0.03</v>
      </c>
      <c r="K177" s="119">
        <v>6.09</v>
      </c>
    </row>
    <row r="178" spans="1:11" ht="12.75">
      <c r="A178" s="85" t="s">
        <v>1271</v>
      </c>
      <c r="B178" s="86" t="s">
        <v>1275</v>
      </c>
      <c r="C178" s="109" t="str">
        <f t="shared" si="2"/>
        <v>2 lat/a od dnia zakupu</v>
      </c>
      <c r="D178" s="109">
        <v>41671</v>
      </c>
      <c r="E178" s="109">
        <v>41698</v>
      </c>
      <c r="F178" s="110">
        <v>100</v>
      </c>
      <c r="G178" s="119">
        <v>99.9</v>
      </c>
      <c r="H178" s="258">
        <v>102.0991</v>
      </c>
      <c r="I178" s="258">
        <v>42.3068</v>
      </c>
      <c r="J178" s="259">
        <v>0.03</v>
      </c>
      <c r="K178" s="119">
        <v>6.09</v>
      </c>
    </row>
    <row r="179" spans="1:11" ht="12.75">
      <c r="A179" s="85" t="s">
        <v>1306</v>
      </c>
      <c r="B179" s="86" t="s">
        <v>1293</v>
      </c>
      <c r="C179" s="109" t="str">
        <f t="shared" si="2"/>
        <v>2 lat/a od dnia zakupu</v>
      </c>
      <c r="D179" s="109">
        <v>41699</v>
      </c>
      <c r="E179" s="109">
        <v>41729</v>
      </c>
      <c r="F179" s="110">
        <v>100</v>
      </c>
      <c r="G179" s="119">
        <v>99.9</v>
      </c>
      <c r="H179" s="258">
        <v>95.9415</v>
      </c>
      <c r="I179" s="258">
        <v>44.4029</v>
      </c>
      <c r="J179" s="259">
        <v>0.03</v>
      </c>
      <c r="K179" s="119">
        <v>6.09</v>
      </c>
    </row>
    <row r="180" spans="1:11" ht="12.75">
      <c r="A180" s="85" t="s">
        <v>1307</v>
      </c>
      <c r="B180" s="86" t="s">
        <v>1295</v>
      </c>
      <c r="C180" s="109" t="str">
        <f t="shared" si="2"/>
        <v>2 lat/a od dnia zakupu</v>
      </c>
      <c r="D180" s="109">
        <v>41730</v>
      </c>
      <c r="E180" s="109">
        <v>41759</v>
      </c>
      <c r="F180" s="110">
        <v>100</v>
      </c>
      <c r="G180" s="119">
        <v>99.9</v>
      </c>
      <c r="H180" s="258">
        <v>75.996</v>
      </c>
      <c r="I180" s="258">
        <v>30.1721</v>
      </c>
      <c r="J180" s="259">
        <v>0.03</v>
      </c>
      <c r="K180" s="119">
        <v>6.09</v>
      </c>
    </row>
    <row r="181" spans="1:11" ht="12.75">
      <c r="A181" s="85" t="s">
        <v>1308</v>
      </c>
      <c r="B181" s="86" t="s">
        <v>1309</v>
      </c>
      <c r="C181" s="109" t="str">
        <f t="shared" si="2"/>
        <v>2 lat/a od dnia zakupu</v>
      </c>
      <c r="D181" s="109">
        <v>41760</v>
      </c>
      <c r="E181" s="109">
        <v>41790</v>
      </c>
      <c r="F181" s="110">
        <v>100</v>
      </c>
      <c r="G181" s="119">
        <v>99.9</v>
      </c>
      <c r="H181" s="258">
        <v>71.1466</v>
      </c>
      <c r="I181" s="258">
        <v>25.4531</v>
      </c>
      <c r="J181" s="259">
        <v>0.03</v>
      </c>
      <c r="K181" s="119">
        <v>6.09</v>
      </c>
    </row>
    <row r="182" spans="1:11" ht="12.75">
      <c r="A182" s="85" t="s">
        <v>1322</v>
      </c>
      <c r="B182" s="86" t="s">
        <v>1323</v>
      </c>
      <c r="C182" s="109" t="str">
        <f t="shared" si="2"/>
        <v>2 lat/a od dnia zakupu</v>
      </c>
      <c r="D182" s="109">
        <v>41791</v>
      </c>
      <c r="E182" s="109">
        <v>41820</v>
      </c>
      <c r="F182" s="110">
        <v>100</v>
      </c>
      <c r="G182" s="119">
        <v>99.9</v>
      </c>
      <c r="H182" s="258">
        <v>76.4039</v>
      </c>
      <c r="I182" s="258">
        <v>29.0129</v>
      </c>
      <c r="J182" s="259">
        <v>0.03</v>
      </c>
      <c r="K182" s="119">
        <v>6.09</v>
      </c>
    </row>
    <row r="183" spans="1:11" ht="12.75">
      <c r="A183" s="85" t="s">
        <v>1324</v>
      </c>
      <c r="B183" s="86" t="s">
        <v>1325</v>
      </c>
      <c r="C183" s="87" t="str">
        <f t="shared" si="2"/>
        <v>2 lat/a od dnia zakupu</v>
      </c>
      <c r="D183" s="87">
        <v>41821</v>
      </c>
      <c r="E183" s="87">
        <v>41851</v>
      </c>
      <c r="F183" s="88">
        <v>100</v>
      </c>
      <c r="G183" s="120">
        <v>99.9</v>
      </c>
      <c r="H183" s="260">
        <v>128.7852</v>
      </c>
      <c r="I183" s="260">
        <v>53.3144</v>
      </c>
      <c r="J183" s="39">
        <v>0.03</v>
      </c>
      <c r="K183" s="120">
        <v>6.09</v>
      </c>
    </row>
    <row r="184" spans="1:11" ht="12.75">
      <c r="A184" s="85" t="s">
        <v>1332</v>
      </c>
      <c r="B184" s="86" t="s">
        <v>1333</v>
      </c>
      <c r="C184" s="87" t="str">
        <f t="shared" si="2"/>
        <v>2 lat/a od dnia zakupu</v>
      </c>
      <c r="D184" s="87">
        <v>41852</v>
      </c>
      <c r="E184" s="87">
        <v>41882</v>
      </c>
      <c r="F184" s="88">
        <v>100</v>
      </c>
      <c r="G184" s="120">
        <v>99.9</v>
      </c>
      <c r="H184" s="260">
        <v>91.957</v>
      </c>
      <c r="I184" s="260">
        <v>51.3221</v>
      </c>
      <c r="J184" s="39">
        <v>0.028</v>
      </c>
      <c r="K184" s="120">
        <v>5.68</v>
      </c>
    </row>
    <row r="185" spans="1:11" s="26" customFormat="1" ht="12.75">
      <c r="A185" s="85" t="s">
        <v>1340</v>
      </c>
      <c r="B185" s="86" t="s">
        <v>1341</v>
      </c>
      <c r="C185" s="87" t="str">
        <f t="shared" si="2"/>
        <v>2 lat/a od dnia zakupu</v>
      </c>
      <c r="D185" s="87">
        <v>41883</v>
      </c>
      <c r="E185" s="87">
        <v>41912</v>
      </c>
      <c r="F185" s="88">
        <v>100</v>
      </c>
      <c r="G185" s="120">
        <v>99.6</v>
      </c>
      <c r="H185" s="260">
        <v>122.5812</v>
      </c>
      <c r="I185" s="260">
        <v>90.8596</v>
      </c>
      <c r="J185" s="39">
        <v>0.026</v>
      </c>
      <c r="K185" s="120">
        <v>5.27</v>
      </c>
    </row>
    <row r="186" spans="1:11" s="26" customFormat="1" ht="12.75">
      <c r="A186" s="85" t="s">
        <v>1348</v>
      </c>
      <c r="B186" s="86" t="s">
        <v>1349</v>
      </c>
      <c r="C186" s="87" t="str">
        <f t="shared" si="2"/>
        <v>2 lat/a od dnia zakupu</v>
      </c>
      <c r="D186" s="87">
        <v>41913</v>
      </c>
      <c r="E186" s="87">
        <v>41943</v>
      </c>
      <c r="F186" s="88">
        <v>100</v>
      </c>
      <c r="G186" s="120">
        <v>99.9</v>
      </c>
      <c r="H186" s="260">
        <v>97.6353</v>
      </c>
      <c r="I186" s="260">
        <v>41.5183</v>
      </c>
      <c r="J186" s="39">
        <v>0.024</v>
      </c>
      <c r="K186" s="120">
        <v>4.86</v>
      </c>
    </row>
    <row r="187" spans="1:11" ht="12.75">
      <c r="A187" s="85" t="s">
        <v>1356</v>
      </c>
      <c r="B187" s="86" t="s">
        <v>1358</v>
      </c>
      <c r="C187" s="87" t="str">
        <f t="shared" si="2"/>
        <v>2 lat/a od dnia zakupu</v>
      </c>
      <c r="D187" s="87">
        <v>41944</v>
      </c>
      <c r="E187" s="87">
        <v>41973</v>
      </c>
      <c r="F187" s="88">
        <v>100</v>
      </c>
      <c r="G187" s="120">
        <v>99.9</v>
      </c>
      <c r="H187" s="260">
        <v>49.3664</v>
      </c>
      <c r="I187" s="260">
        <v>34.6943</v>
      </c>
      <c r="J187" s="39">
        <v>0.02</v>
      </c>
      <c r="K187" s="120">
        <v>4.04</v>
      </c>
    </row>
    <row r="188" spans="1:11" ht="12.75">
      <c r="A188" s="85" t="s">
        <v>1357</v>
      </c>
      <c r="B188" s="86" t="s">
        <v>1386</v>
      </c>
      <c r="C188" s="87" t="str">
        <f t="shared" si="2"/>
        <v>2 lat/a od dnia zakupu</v>
      </c>
      <c r="D188" s="87">
        <v>41974</v>
      </c>
      <c r="E188" s="87">
        <v>42004</v>
      </c>
      <c r="F188" s="88">
        <v>100</v>
      </c>
      <c r="G188" s="120">
        <v>99.9</v>
      </c>
      <c r="H188" s="260">
        <v>118.1384</v>
      </c>
      <c r="I188" s="260">
        <v>67.5337</v>
      </c>
      <c r="J188" s="39">
        <v>0.022</v>
      </c>
      <c r="K188" s="120">
        <v>4.45</v>
      </c>
    </row>
    <row r="189" spans="1:11" s="27" customFormat="1" ht="12.75">
      <c r="A189" s="113" t="s">
        <v>1371</v>
      </c>
      <c r="B189" s="114" t="s">
        <v>1372</v>
      </c>
      <c r="C189" s="115" t="str">
        <f t="shared" si="2"/>
        <v>2 lat/a od dnia zakupu</v>
      </c>
      <c r="D189" s="115">
        <v>42005</v>
      </c>
      <c r="E189" s="115">
        <v>42035</v>
      </c>
      <c r="F189" s="116">
        <v>100</v>
      </c>
      <c r="G189" s="117">
        <v>99.9</v>
      </c>
      <c r="H189" s="261">
        <v>44.5499</v>
      </c>
      <c r="I189" s="261">
        <v>16.4029</v>
      </c>
      <c r="J189" s="262">
        <v>0.02</v>
      </c>
      <c r="K189" s="117">
        <v>4.04</v>
      </c>
    </row>
    <row r="190" spans="1:11" ht="12.75">
      <c r="A190" s="85" t="s">
        <v>1379</v>
      </c>
      <c r="B190" s="86" t="s">
        <v>1381</v>
      </c>
      <c r="C190" s="109" t="str">
        <f t="shared" si="2"/>
        <v>2 lat/a od dnia zakupu</v>
      </c>
      <c r="D190" s="109">
        <v>42036</v>
      </c>
      <c r="E190" s="109">
        <v>42063</v>
      </c>
      <c r="F190" s="110">
        <v>100</v>
      </c>
      <c r="G190" s="119">
        <v>99.9</v>
      </c>
      <c r="H190" s="258">
        <v>43.8972</v>
      </c>
      <c r="I190" s="258">
        <v>24.2242</v>
      </c>
      <c r="J190" s="259">
        <v>0.02</v>
      </c>
      <c r="K190" s="119">
        <v>4.04</v>
      </c>
    </row>
    <row r="191" spans="1:11" ht="12.75">
      <c r="A191" s="85" t="s">
        <v>1390</v>
      </c>
      <c r="B191" s="86" t="s">
        <v>1391</v>
      </c>
      <c r="C191" s="109" t="str">
        <f t="shared" si="2"/>
        <v>2 lat/a od dnia zakupu</v>
      </c>
      <c r="D191" s="87">
        <v>42064</v>
      </c>
      <c r="E191" s="87">
        <v>42094</v>
      </c>
      <c r="F191" s="88">
        <v>100</v>
      </c>
      <c r="G191" s="120">
        <v>99.9</v>
      </c>
      <c r="H191" s="260">
        <v>72.8548</v>
      </c>
      <c r="I191" s="260">
        <v>38.8033</v>
      </c>
      <c r="J191" s="39">
        <v>0.02</v>
      </c>
      <c r="K191" s="120">
        <v>4.04</v>
      </c>
    </row>
    <row r="192" spans="1:11" ht="12.75">
      <c r="A192" s="85" t="s">
        <v>1403</v>
      </c>
      <c r="B192" s="86" t="s">
        <v>1404</v>
      </c>
      <c r="C192" s="109" t="str">
        <f t="shared" si="2"/>
        <v>2 lat/a od dnia zakupu</v>
      </c>
      <c r="D192" s="87">
        <v>42095</v>
      </c>
      <c r="E192" s="87">
        <v>42124</v>
      </c>
      <c r="F192" s="88">
        <v>100</v>
      </c>
      <c r="G192" s="120">
        <v>99.9</v>
      </c>
      <c r="H192" s="260">
        <v>97.6104</v>
      </c>
      <c r="I192" s="260">
        <v>41.4083</v>
      </c>
      <c r="J192" s="39">
        <v>0.02</v>
      </c>
      <c r="K192" s="120">
        <v>4.04</v>
      </c>
    </row>
    <row r="193" spans="1:11" ht="12.75">
      <c r="A193" s="85" t="s">
        <v>1412</v>
      </c>
      <c r="B193" s="86" t="s">
        <v>1411</v>
      </c>
      <c r="C193" s="87" t="str">
        <f t="shared" si="2"/>
        <v>2 lat/a od dnia zakupu</v>
      </c>
      <c r="D193" s="87">
        <v>42125</v>
      </c>
      <c r="E193" s="87">
        <v>42155</v>
      </c>
      <c r="F193" s="88">
        <v>100</v>
      </c>
      <c r="G193" s="120">
        <v>99.9</v>
      </c>
      <c r="H193" s="260">
        <v>125.2891</v>
      </c>
      <c r="I193" s="260">
        <v>39.6599</v>
      </c>
      <c r="J193" s="39">
        <v>0.02</v>
      </c>
      <c r="K193" s="120">
        <v>4.04</v>
      </c>
    </row>
    <row r="194" spans="1:11" ht="12.75">
      <c r="A194" s="85" t="s">
        <v>1419</v>
      </c>
      <c r="B194" s="86" t="s">
        <v>1420</v>
      </c>
      <c r="C194" s="87" t="str">
        <f t="shared" si="2"/>
        <v>2 lat/a od dnia zakupu</v>
      </c>
      <c r="D194" s="87">
        <v>42156</v>
      </c>
      <c r="E194" s="87">
        <v>42185</v>
      </c>
      <c r="F194" s="88">
        <v>100</v>
      </c>
      <c r="G194" s="120">
        <v>99.9</v>
      </c>
      <c r="H194" s="260">
        <v>143.5729</v>
      </c>
      <c r="I194" s="260">
        <v>48.7301</v>
      </c>
      <c r="J194" s="39">
        <v>0.02</v>
      </c>
      <c r="K194" s="120">
        <v>4.04</v>
      </c>
    </row>
    <row r="195" spans="1:11" s="26" customFormat="1" ht="12.75">
      <c r="A195" s="85" t="s">
        <v>1427</v>
      </c>
      <c r="B195" s="86" t="s">
        <v>1431</v>
      </c>
      <c r="C195" s="87" t="str">
        <f t="shared" si="2"/>
        <v>2 lat/a od dnia zakupu</v>
      </c>
      <c r="D195" s="87">
        <v>42186</v>
      </c>
      <c r="E195" s="87">
        <v>42216</v>
      </c>
      <c r="F195" s="88">
        <v>100</v>
      </c>
      <c r="G195" s="120">
        <v>99.9</v>
      </c>
      <c r="H195" s="260">
        <v>161.1194</v>
      </c>
      <c r="I195" s="260">
        <v>58.5143</v>
      </c>
      <c r="J195" s="39">
        <v>0.02</v>
      </c>
      <c r="K195" s="120">
        <v>4.04</v>
      </c>
    </row>
    <row r="196" spans="1:11" s="26" customFormat="1" ht="12.75">
      <c r="A196" s="85" t="s">
        <v>1438</v>
      </c>
      <c r="B196" s="86" t="s">
        <v>1439</v>
      </c>
      <c r="C196" s="87" t="str">
        <f t="shared" si="2"/>
        <v>2 lat/a od dnia zakupu</v>
      </c>
      <c r="D196" s="87">
        <v>42217</v>
      </c>
      <c r="E196" s="87">
        <v>42247</v>
      </c>
      <c r="F196" s="88">
        <v>100</v>
      </c>
      <c r="G196" s="120">
        <v>99.9</v>
      </c>
      <c r="H196" s="260">
        <v>185.295</v>
      </c>
      <c r="I196" s="260">
        <v>68.068</v>
      </c>
      <c r="J196" s="39">
        <v>0.02</v>
      </c>
      <c r="K196" s="120">
        <v>4.04</v>
      </c>
    </row>
    <row r="197" spans="1:11" s="26" customFormat="1" ht="12.75">
      <c r="A197" s="85" t="s">
        <v>1443</v>
      </c>
      <c r="B197" s="86" t="s">
        <v>1447</v>
      </c>
      <c r="C197" s="87" t="str">
        <f t="shared" si="2"/>
        <v>2 lat/a od dnia zakupu</v>
      </c>
      <c r="D197" s="87">
        <v>42248</v>
      </c>
      <c r="E197" s="87">
        <v>42277</v>
      </c>
      <c r="F197" s="88">
        <v>100</v>
      </c>
      <c r="G197" s="120">
        <v>99.9</v>
      </c>
      <c r="H197" s="260">
        <v>183.2385</v>
      </c>
      <c r="I197" s="260">
        <v>58.7946</v>
      </c>
      <c r="J197" s="39">
        <v>0.02</v>
      </c>
      <c r="K197" s="120">
        <v>4.04</v>
      </c>
    </row>
    <row r="198" spans="1:11" s="26" customFormat="1" ht="12.75">
      <c r="A198" s="85" t="s">
        <v>1453</v>
      </c>
      <c r="B198" s="86" t="s">
        <v>1452</v>
      </c>
      <c r="C198" s="87" t="str">
        <f t="shared" si="2"/>
        <v>2 lat/a od dnia zakupu</v>
      </c>
      <c r="D198" s="87">
        <v>42278</v>
      </c>
      <c r="E198" s="87">
        <v>42308</v>
      </c>
      <c r="F198" s="88">
        <v>100</v>
      </c>
      <c r="G198" s="120">
        <v>99.9</v>
      </c>
      <c r="H198" s="260">
        <v>170.8447</v>
      </c>
      <c r="I198" s="260">
        <v>69.3663</v>
      </c>
      <c r="J198" s="39">
        <v>0.02</v>
      </c>
      <c r="K198" s="120">
        <v>4.04</v>
      </c>
    </row>
    <row r="199" spans="1:11" s="26" customFormat="1" ht="12.75">
      <c r="A199" s="85" t="s">
        <v>1463</v>
      </c>
      <c r="B199" s="86" t="s">
        <v>1464</v>
      </c>
      <c r="C199" s="87" t="str">
        <f t="shared" si="2"/>
        <v>2 lat/a od dnia zakupu</v>
      </c>
      <c r="D199" s="87">
        <v>42309</v>
      </c>
      <c r="E199" s="87">
        <v>42338</v>
      </c>
      <c r="F199" s="88">
        <v>100</v>
      </c>
      <c r="G199" s="120">
        <v>99.9</v>
      </c>
      <c r="H199" s="260">
        <v>185.192</v>
      </c>
      <c r="I199" s="260">
        <v>82.43</v>
      </c>
      <c r="J199" s="39">
        <v>0.021</v>
      </c>
      <c r="K199" s="120">
        <v>4.24</v>
      </c>
    </row>
    <row r="200" spans="1:11" s="26" customFormat="1" ht="12.75">
      <c r="A200" s="90" t="s">
        <v>1473</v>
      </c>
      <c r="B200" s="91" t="s">
        <v>1475</v>
      </c>
      <c r="C200" s="92" t="str">
        <f t="shared" si="2"/>
        <v>2 lat/a od dnia zakupu</v>
      </c>
      <c r="D200" s="92">
        <v>42339</v>
      </c>
      <c r="E200" s="92">
        <v>42369</v>
      </c>
      <c r="F200" s="93">
        <v>100</v>
      </c>
      <c r="G200" s="135">
        <v>99.9</v>
      </c>
      <c r="H200" s="106">
        <v>224.6016</v>
      </c>
      <c r="I200" s="106">
        <v>118.4191</v>
      </c>
      <c r="J200" s="65">
        <v>0.02</v>
      </c>
      <c r="K200" s="121">
        <v>4.04</v>
      </c>
    </row>
    <row r="201" spans="1:11" s="27" customFormat="1" ht="12.75">
      <c r="A201" s="113" t="s">
        <v>1481</v>
      </c>
      <c r="B201" s="114" t="s">
        <v>1479</v>
      </c>
      <c r="C201" s="115" t="str">
        <f t="shared" si="2"/>
        <v>2 lat/a od dnia zakupu</v>
      </c>
      <c r="D201" s="115">
        <v>42370</v>
      </c>
      <c r="E201" s="115">
        <v>42400</v>
      </c>
      <c r="F201" s="116">
        <v>100</v>
      </c>
      <c r="G201" s="117">
        <v>99.9</v>
      </c>
      <c r="H201" s="261">
        <v>232.602</v>
      </c>
      <c r="I201" s="261">
        <v>102.6917</v>
      </c>
      <c r="J201" s="262">
        <v>0.02</v>
      </c>
      <c r="K201" s="117">
        <v>4.04</v>
      </c>
    </row>
    <row r="202" spans="1:11" ht="12.75">
      <c r="A202" s="85" t="s">
        <v>1487</v>
      </c>
      <c r="B202" s="86" t="s">
        <v>1488</v>
      </c>
      <c r="C202" s="87" t="str">
        <f t="shared" si="2"/>
        <v>2 lat/a od dnia zakupu</v>
      </c>
      <c r="D202" s="87">
        <v>42401</v>
      </c>
      <c r="E202" s="87">
        <v>42428</v>
      </c>
      <c r="F202" s="88">
        <v>100</v>
      </c>
      <c r="G202" s="120">
        <v>99.6</v>
      </c>
      <c r="H202" s="260">
        <v>502.941</v>
      </c>
      <c r="I202" s="260">
        <v>327.5996</v>
      </c>
      <c r="J202" s="39">
        <v>0.02</v>
      </c>
      <c r="K202" s="120">
        <v>4.04</v>
      </c>
    </row>
    <row r="203" spans="1:11" ht="12.75">
      <c r="A203" s="85" t="s">
        <v>1495</v>
      </c>
      <c r="B203" s="86" t="s">
        <v>1496</v>
      </c>
      <c r="C203" s="87" t="str">
        <f t="shared" si="2"/>
        <v>2 lat/a od dnia zakupu</v>
      </c>
      <c r="D203" s="87">
        <v>42430</v>
      </c>
      <c r="E203" s="87">
        <v>42460</v>
      </c>
      <c r="F203" s="88">
        <v>100</v>
      </c>
      <c r="G203" s="120">
        <v>99.9</v>
      </c>
      <c r="H203" s="260">
        <v>302.0872</v>
      </c>
      <c r="I203" s="260">
        <v>67.9487</v>
      </c>
      <c r="J203" s="39">
        <v>0.02</v>
      </c>
      <c r="K203" s="120">
        <v>4.04</v>
      </c>
    </row>
    <row r="204" spans="1:11" ht="12.75">
      <c r="A204" s="85" t="s">
        <v>1503</v>
      </c>
      <c r="B204" s="86" t="s">
        <v>1504</v>
      </c>
      <c r="C204" s="87" t="str">
        <f t="shared" si="2"/>
        <v>2 lat/a od dnia zakupu</v>
      </c>
      <c r="D204" s="87">
        <v>42461</v>
      </c>
      <c r="E204" s="87">
        <v>42490</v>
      </c>
      <c r="F204" s="88">
        <v>100</v>
      </c>
      <c r="G204" s="120">
        <v>99.9</v>
      </c>
      <c r="H204" s="260">
        <v>260.4018</v>
      </c>
      <c r="I204" s="260">
        <v>59.532</v>
      </c>
      <c r="J204" s="39">
        <v>0.02</v>
      </c>
      <c r="K204" s="120">
        <v>4.04</v>
      </c>
    </row>
    <row r="205" spans="1:11" ht="12.75">
      <c r="A205" s="85" t="s">
        <v>1511</v>
      </c>
      <c r="B205" s="86" t="s">
        <v>1515</v>
      </c>
      <c r="C205" s="87" t="str">
        <f t="shared" si="2"/>
        <v>2 lat/a od dnia zakupu</v>
      </c>
      <c r="D205" s="87">
        <v>42491</v>
      </c>
      <c r="E205" s="87">
        <v>42521</v>
      </c>
      <c r="F205" s="88">
        <v>100</v>
      </c>
      <c r="G205" s="120">
        <v>99.9</v>
      </c>
      <c r="H205" s="260">
        <v>199.9144</v>
      </c>
      <c r="I205" s="260">
        <v>48.4952</v>
      </c>
      <c r="J205" s="39">
        <v>0.02</v>
      </c>
      <c r="K205" s="120">
        <v>4.04</v>
      </c>
    </row>
    <row r="206" spans="1:11" ht="12.75">
      <c r="A206" s="85" t="s">
        <v>1519</v>
      </c>
      <c r="B206" s="86" t="s">
        <v>1520</v>
      </c>
      <c r="C206" s="87" t="str">
        <f t="shared" si="2"/>
        <v>2 lat/a od dnia zakupu</v>
      </c>
      <c r="D206" s="87">
        <v>42522</v>
      </c>
      <c r="E206" s="87">
        <v>42551</v>
      </c>
      <c r="F206" s="88">
        <v>100</v>
      </c>
      <c r="G206" s="120">
        <v>99.9</v>
      </c>
      <c r="H206" s="260">
        <v>164.9168</v>
      </c>
      <c r="I206" s="260">
        <v>54.8946</v>
      </c>
      <c r="J206" s="39">
        <v>0.02</v>
      </c>
      <c r="K206" s="120">
        <v>4.04</v>
      </c>
    </row>
    <row r="207" spans="1:11" ht="12.75">
      <c r="A207" s="85" t="s">
        <v>1527</v>
      </c>
      <c r="B207" s="86" t="s">
        <v>1528</v>
      </c>
      <c r="C207" s="87" t="str">
        <f t="shared" si="2"/>
        <v>2 lat/a od dnia zakupu</v>
      </c>
      <c r="D207" s="87">
        <v>42552</v>
      </c>
      <c r="E207" s="87">
        <v>42582</v>
      </c>
      <c r="F207" s="88">
        <v>100</v>
      </c>
      <c r="G207" s="120">
        <v>99.9</v>
      </c>
      <c r="H207" s="260">
        <v>339.8073</v>
      </c>
      <c r="I207" s="260">
        <v>96.8089</v>
      </c>
      <c r="J207" s="39">
        <v>0.02</v>
      </c>
      <c r="K207" s="120">
        <v>4.04</v>
      </c>
    </row>
    <row r="208" spans="1:11" ht="12.75">
      <c r="A208" s="85" t="s">
        <v>1535</v>
      </c>
      <c r="B208" s="86" t="s">
        <v>1539</v>
      </c>
      <c r="C208" s="87" t="str">
        <f t="shared" si="2"/>
        <v>2 lat/a od dnia zakupu</v>
      </c>
      <c r="D208" s="87">
        <v>42583</v>
      </c>
      <c r="E208" s="87">
        <v>42613</v>
      </c>
      <c r="F208" s="88">
        <v>100</v>
      </c>
      <c r="G208" s="120">
        <v>99.9</v>
      </c>
      <c r="H208" s="260">
        <v>226.5651</v>
      </c>
      <c r="I208" s="260">
        <v>78.345</v>
      </c>
      <c r="J208" s="39">
        <v>0.02</v>
      </c>
      <c r="K208" s="120">
        <v>4.04</v>
      </c>
    </row>
    <row r="209" spans="1:11" ht="12.75">
      <c r="A209" s="85" t="s">
        <v>1543</v>
      </c>
      <c r="B209" s="86" t="s">
        <v>1544</v>
      </c>
      <c r="C209" s="87" t="str">
        <f t="shared" si="2"/>
        <v>2 lat/a od dnia zakupu</v>
      </c>
      <c r="D209" s="87">
        <v>42614</v>
      </c>
      <c r="E209" s="87">
        <v>42643</v>
      </c>
      <c r="F209" s="88">
        <v>100</v>
      </c>
      <c r="G209" s="120">
        <v>99.9</v>
      </c>
      <c r="H209" s="260">
        <v>232.5224</v>
      </c>
      <c r="I209" s="260">
        <v>94.1353</v>
      </c>
      <c r="J209" s="39">
        <v>0.02</v>
      </c>
      <c r="K209" s="120">
        <v>4.04</v>
      </c>
    </row>
    <row r="210" spans="1:11" ht="12.75">
      <c r="A210" s="85" t="s">
        <v>1555</v>
      </c>
      <c r="B210" s="86" t="s">
        <v>1554</v>
      </c>
      <c r="C210" s="87" t="str">
        <f t="shared" si="2"/>
        <v>2 lat/a od dnia zakupu</v>
      </c>
      <c r="D210" s="87">
        <v>42644</v>
      </c>
      <c r="E210" s="87">
        <v>42674</v>
      </c>
      <c r="F210" s="88">
        <v>100</v>
      </c>
      <c r="G210" s="120">
        <v>99.7</v>
      </c>
      <c r="H210" s="260">
        <v>690.6161</v>
      </c>
      <c r="I210" s="260">
        <v>490.8122</v>
      </c>
      <c r="J210" s="39">
        <v>0.02</v>
      </c>
      <c r="K210" s="120">
        <v>4.04</v>
      </c>
    </row>
    <row r="211" spans="1:11" ht="12.75">
      <c r="A211" s="85" t="s">
        <v>1564</v>
      </c>
      <c r="B211" s="86" t="s">
        <v>1565</v>
      </c>
      <c r="C211" s="87" t="str">
        <f t="shared" si="2"/>
        <v>2 lat/a od dnia zakupu</v>
      </c>
      <c r="D211" s="87">
        <v>42675</v>
      </c>
      <c r="E211" s="87">
        <v>42704</v>
      </c>
      <c r="F211" s="88">
        <v>100</v>
      </c>
      <c r="G211" s="120">
        <v>99.9</v>
      </c>
      <c r="H211" s="260">
        <v>214.5829</v>
      </c>
      <c r="I211" s="260">
        <v>56.1159</v>
      </c>
      <c r="J211" s="39">
        <v>0.02</v>
      </c>
      <c r="K211" s="120">
        <v>4.04</v>
      </c>
    </row>
    <row r="212" spans="1:11" s="26" customFormat="1" ht="12.75">
      <c r="A212" s="90" t="s">
        <v>1576</v>
      </c>
      <c r="B212" s="91" t="s">
        <v>1577</v>
      </c>
      <c r="C212" s="92" t="str">
        <f t="shared" si="2"/>
        <v>2 lat/a od dnia zakupu</v>
      </c>
      <c r="D212" s="92">
        <v>42705</v>
      </c>
      <c r="E212" s="92">
        <v>42735</v>
      </c>
      <c r="F212" s="93">
        <v>100</v>
      </c>
      <c r="G212" s="135">
        <v>99.9</v>
      </c>
      <c r="H212" s="94">
        <v>179.1917</v>
      </c>
      <c r="I212" s="94">
        <v>86.7066</v>
      </c>
      <c r="J212" s="65">
        <v>0.02</v>
      </c>
      <c r="K212" s="135">
        <v>4.04</v>
      </c>
    </row>
    <row r="213" spans="1:11" s="31" customFormat="1" ht="12.75">
      <c r="A213" s="85" t="s">
        <v>1588</v>
      </c>
      <c r="B213" s="86" t="s">
        <v>1589</v>
      </c>
      <c r="C213" s="87" t="str">
        <f t="shared" si="2"/>
        <v>2 lat/a od dnia zakupu</v>
      </c>
      <c r="D213" s="87">
        <v>42736</v>
      </c>
      <c r="E213" s="87">
        <v>42766</v>
      </c>
      <c r="F213" s="88">
        <v>100</v>
      </c>
      <c r="G213" s="120">
        <v>99.9</v>
      </c>
      <c r="H213" s="89">
        <v>266.566</v>
      </c>
      <c r="I213" s="89">
        <v>35.9612</v>
      </c>
      <c r="J213" s="63">
        <v>0.021</v>
      </c>
      <c r="K213" s="120">
        <v>4.24</v>
      </c>
    </row>
    <row r="214" spans="1:11" s="31" customFormat="1" ht="12.75">
      <c r="A214" s="85" t="s">
        <v>1599</v>
      </c>
      <c r="B214" s="86" t="s">
        <v>1600</v>
      </c>
      <c r="C214" s="87" t="str">
        <f t="shared" si="2"/>
        <v>2 lat/a od dnia zakupu</v>
      </c>
      <c r="D214" s="87">
        <v>42767</v>
      </c>
      <c r="E214" s="87">
        <v>42794</v>
      </c>
      <c r="F214" s="88">
        <v>100</v>
      </c>
      <c r="G214" s="120">
        <v>99.9</v>
      </c>
      <c r="H214" s="260">
        <v>188.826</v>
      </c>
      <c r="I214" s="260">
        <v>38.6193</v>
      </c>
      <c r="J214" s="39">
        <v>0.021</v>
      </c>
      <c r="K214" s="120">
        <v>4.24</v>
      </c>
    </row>
    <row r="215" spans="1:11" s="31" customFormat="1" ht="12.75">
      <c r="A215" s="85" t="s">
        <v>1633</v>
      </c>
      <c r="B215" s="86" t="s">
        <v>1634</v>
      </c>
      <c r="C215" s="87" t="str">
        <f aca="true" t="shared" si="3" ref="C215:C277">"2"&amp;WykupCOI</f>
        <v>2 lat/a od dnia zakupu</v>
      </c>
      <c r="D215" s="87">
        <v>42795</v>
      </c>
      <c r="E215" s="87">
        <v>42825</v>
      </c>
      <c r="F215" s="88">
        <v>100</v>
      </c>
      <c r="G215" s="120">
        <v>99.9</v>
      </c>
      <c r="H215" s="260">
        <v>206.6737</v>
      </c>
      <c r="I215" s="260">
        <v>55.2126</v>
      </c>
      <c r="J215" s="39">
        <v>0.021</v>
      </c>
      <c r="K215" s="120">
        <v>4.24</v>
      </c>
    </row>
    <row r="216" spans="1:11" s="31" customFormat="1" ht="12.75">
      <c r="A216" s="85" t="s">
        <v>1653</v>
      </c>
      <c r="B216" s="86" t="s">
        <v>1650</v>
      </c>
      <c r="C216" s="87" t="str">
        <f t="shared" si="3"/>
        <v>2 lat/a od dnia zakupu</v>
      </c>
      <c r="D216" s="87">
        <v>42826</v>
      </c>
      <c r="E216" s="87">
        <v>42855</v>
      </c>
      <c r="F216" s="88">
        <v>100</v>
      </c>
      <c r="G216" s="120">
        <v>99.9</v>
      </c>
      <c r="H216" s="260">
        <v>226.4023</v>
      </c>
      <c r="I216" s="260">
        <v>63.1773</v>
      </c>
      <c r="J216" s="39">
        <v>0.021</v>
      </c>
      <c r="K216" s="120">
        <v>4.24</v>
      </c>
    </row>
    <row r="217" spans="1:11" s="31" customFormat="1" ht="12.75">
      <c r="A217" s="85" t="s">
        <v>1688</v>
      </c>
      <c r="B217" s="86" t="s">
        <v>1689</v>
      </c>
      <c r="C217" s="87" t="str">
        <f t="shared" si="3"/>
        <v>2 lat/a od dnia zakupu</v>
      </c>
      <c r="D217" s="87">
        <v>42856</v>
      </c>
      <c r="E217" s="87">
        <v>42886</v>
      </c>
      <c r="F217" s="88">
        <v>100</v>
      </c>
      <c r="G217" s="120">
        <v>99.9</v>
      </c>
      <c r="H217" s="260">
        <v>277.6792</v>
      </c>
      <c r="I217" s="260">
        <v>82.9473</v>
      </c>
      <c r="J217" s="39">
        <v>0.021</v>
      </c>
      <c r="K217" s="120">
        <v>4.24</v>
      </c>
    </row>
    <row r="218" spans="1:11" s="31" customFormat="1" ht="12.75">
      <c r="A218" s="85" t="s">
        <v>1700</v>
      </c>
      <c r="B218" s="86" t="s">
        <v>1701</v>
      </c>
      <c r="C218" s="87" t="str">
        <f t="shared" si="3"/>
        <v>2 lat/a od dnia zakupu</v>
      </c>
      <c r="D218" s="87">
        <v>42887</v>
      </c>
      <c r="E218" s="87">
        <v>42916</v>
      </c>
      <c r="F218" s="88">
        <v>100</v>
      </c>
      <c r="G218" s="120">
        <v>99.9</v>
      </c>
      <c r="H218" s="260">
        <v>249.77</v>
      </c>
      <c r="I218" s="260">
        <v>83.8204</v>
      </c>
      <c r="J218" s="39">
        <v>0.021</v>
      </c>
      <c r="K218" s="120">
        <v>4.24</v>
      </c>
    </row>
    <row r="219" spans="1:11" s="31" customFormat="1" ht="12.75">
      <c r="A219" s="85" t="s">
        <v>1712</v>
      </c>
      <c r="B219" s="86" t="s">
        <v>1718</v>
      </c>
      <c r="C219" s="87" t="str">
        <f t="shared" si="3"/>
        <v>2 lat/a od dnia zakupu</v>
      </c>
      <c r="D219" s="87">
        <v>42917</v>
      </c>
      <c r="E219" s="87">
        <v>42947</v>
      </c>
      <c r="F219" s="88">
        <v>100</v>
      </c>
      <c r="G219" s="120">
        <v>99.9</v>
      </c>
      <c r="H219" s="260">
        <v>278.1043</v>
      </c>
      <c r="I219" s="260">
        <v>89.2182</v>
      </c>
      <c r="J219" s="39">
        <v>0.021</v>
      </c>
      <c r="K219" s="120">
        <v>4.24</v>
      </c>
    </row>
    <row r="220" spans="1:11" s="31" customFormat="1" ht="12.75">
      <c r="A220" s="85" t="s">
        <v>1724</v>
      </c>
      <c r="B220" s="86" t="s">
        <v>1725</v>
      </c>
      <c r="C220" s="87" t="str">
        <f t="shared" si="3"/>
        <v>2 lat/a od dnia zakupu</v>
      </c>
      <c r="D220" s="87">
        <v>42948</v>
      </c>
      <c r="E220" s="87">
        <v>42978</v>
      </c>
      <c r="F220" s="88">
        <v>100</v>
      </c>
      <c r="G220" s="120">
        <v>99.9</v>
      </c>
      <c r="H220" s="260">
        <v>271.046</v>
      </c>
      <c r="I220" s="260">
        <v>100.7947</v>
      </c>
      <c r="J220" s="39">
        <v>0.021</v>
      </c>
      <c r="K220" s="120">
        <v>4.24</v>
      </c>
    </row>
    <row r="221" spans="1:11" s="31" customFormat="1" ht="12.75">
      <c r="A221" s="85" t="s">
        <v>1736</v>
      </c>
      <c r="B221" s="86" t="s">
        <v>1737</v>
      </c>
      <c r="C221" s="87" t="str">
        <f t="shared" si="3"/>
        <v>2 lat/a od dnia zakupu</v>
      </c>
      <c r="D221" s="87">
        <v>42979</v>
      </c>
      <c r="E221" s="87">
        <v>43008</v>
      </c>
      <c r="F221" s="88">
        <v>100</v>
      </c>
      <c r="G221" s="120">
        <v>99.9</v>
      </c>
      <c r="H221" s="260">
        <v>244.3567</v>
      </c>
      <c r="I221" s="260">
        <v>110.5286</v>
      </c>
      <c r="J221" s="39">
        <v>0.021</v>
      </c>
      <c r="K221" s="120">
        <v>4.24</v>
      </c>
    </row>
    <row r="222" spans="1:11" s="31" customFormat="1" ht="12.75">
      <c r="A222" s="85" t="s">
        <v>1752</v>
      </c>
      <c r="B222" s="86" t="s">
        <v>1753</v>
      </c>
      <c r="C222" s="87" t="str">
        <f t="shared" si="3"/>
        <v>2 lat/a od dnia zakupu</v>
      </c>
      <c r="D222" s="87">
        <v>43009</v>
      </c>
      <c r="E222" s="87">
        <v>43039</v>
      </c>
      <c r="F222" s="88">
        <v>100</v>
      </c>
      <c r="G222" s="120">
        <v>99.9</v>
      </c>
      <c r="H222" s="260">
        <v>262.8934</v>
      </c>
      <c r="I222" s="260">
        <v>88.8081</v>
      </c>
      <c r="J222" s="39">
        <v>0.021</v>
      </c>
      <c r="K222" s="120">
        <v>4.24</v>
      </c>
    </row>
    <row r="223" spans="1:11" s="31" customFormat="1" ht="12.75">
      <c r="A223" s="85" t="s">
        <v>1764</v>
      </c>
      <c r="B223" s="86" t="s">
        <v>1765</v>
      </c>
      <c r="C223" s="87" t="str">
        <f t="shared" si="3"/>
        <v>2 lat/a od dnia zakupu</v>
      </c>
      <c r="D223" s="87">
        <v>43040</v>
      </c>
      <c r="E223" s="87">
        <v>43069</v>
      </c>
      <c r="F223" s="88">
        <v>100</v>
      </c>
      <c r="G223" s="120">
        <v>99.9</v>
      </c>
      <c r="H223" s="260">
        <v>234.9613</v>
      </c>
      <c r="I223" s="260">
        <v>106.3388</v>
      </c>
      <c r="J223" s="39">
        <v>0.021</v>
      </c>
      <c r="K223" s="120">
        <v>4.24</v>
      </c>
    </row>
    <row r="224" spans="1:11" ht="12.75">
      <c r="A224" s="90" t="s">
        <v>1780</v>
      </c>
      <c r="B224" s="91" t="s">
        <v>1781</v>
      </c>
      <c r="C224" s="92" t="str">
        <f t="shared" si="3"/>
        <v>2 lat/a od dnia zakupu</v>
      </c>
      <c r="D224" s="92">
        <v>43070</v>
      </c>
      <c r="E224" s="92">
        <v>43100</v>
      </c>
      <c r="F224" s="93">
        <v>100</v>
      </c>
      <c r="G224" s="135">
        <v>99.9</v>
      </c>
      <c r="H224" s="94">
        <v>252.3388</v>
      </c>
      <c r="I224" s="94">
        <v>134.3589</v>
      </c>
      <c r="J224" s="65">
        <v>0.021</v>
      </c>
      <c r="K224" s="135">
        <v>4.24</v>
      </c>
    </row>
    <row r="225" spans="1:11" s="7" customFormat="1" ht="12.75">
      <c r="A225" s="85" t="s">
        <v>1793</v>
      </c>
      <c r="B225" s="86" t="s">
        <v>1800</v>
      </c>
      <c r="C225" s="87" t="str">
        <f t="shared" si="3"/>
        <v>2 lat/a od dnia zakupu</v>
      </c>
      <c r="D225" s="87">
        <v>43101</v>
      </c>
      <c r="E225" s="87">
        <v>43131</v>
      </c>
      <c r="F225" s="88">
        <v>100</v>
      </c>
      <c r="G225" s="120">
        <v>99.9</v>
      </c>
      <c r="H225" s="89">
        <v>296.9686</v>
      </c>
      <c r="I225" s="89">
        <v>121.139</v>
      </c>
      <c r="J225" s="63">
        <v>0.021</v>
      </c>
      <c r="K225" s="120">
        <v>4.24</v>
      </c>
    </row>
    <row r="226" spans="1:11" s="7" customFormat="1" ht="12.75">
      <c r="A226" s="85" t="s">
        <v>1807</v>
      </c>
      <c r="B226" s="86" t="s">
        <v>1814</v>
      </c>
      <c r="C226" s="87" t="str">
        <f t="shared" si="3"/>
        <v>2 lat/a od dnia zakupu</v>
      </c>
      <c r="D226" s="87">
        <v>43132</v>
      </c>
      <c r="E226" s="87">
        <v>43159</v>
      </c>
      <c r="F226" s="88">
        <v>100</v>
      </c>
      <c r="G226" s="120">
        <v>99.9</v>
      </c>
      <c r="H226" s="89">
        <v>406.1487</v>
      </c>
      <c r="I226" s="89">
        <v>228.196</v>
      </c>
      <c r="J226" s="63">
        <v>0.021</v>
      </c>
      <c r="K226" s="120">
        <v>4.24</v>
      </c>
    </row>
    <row r="227" spans="1:11" s="7" customFormat="1" ht="12.75">
      <c r="A227" s="85" t="s">
        <v>1822</v>
      </c>
      <c r="B227" s="86" t="s">
        <v>1823</v>
      </c>
      <c r="C227" s="87" t="str">
        <f t="shared" si="3"/>
        <v>2 lat/a od dnia zakupu</v>
      </c>
      <c r="D227" s="87">
        <v>43160</v>
      </c>
      <c r="E227" s="87">
        <v>43190</v>
      </c>
      <c r="F227" s="88">
        <v>100</v>
      </c>
      <c r="G227" s="120">
        <v>99.9</v>
      </c>
      <c r="H227" s="89">
        <v>300.5748</v>
      </c>
      <c r="I227" s="89">
        <v>125.479</v>
      </c>
      <c r="J227" s="63">
        <v>0.021</v>
      </c>
      <c r="K227" s="120">
        <v>4.24</v>
      </c>
    </row>
    <row r="228" spans="1:11" s="7" customFormat="1" ht="12.75">
      <c r="A228" s="85" t="s">
        <v>1836</v>
      </c>
      <c r="B228" s="86" t="s">
        <v>1837</v>
      </c>
      <c r="C228" s="87" t="str">
        <f t="shared" si="3"/>
        <v>2 lat/a od dnia zakupu</v>
      </c>
      <c r="D228" s="87">
        <v>43191</v>
      </c>
      <c r="E228" s="87">
        <v>43220</v>
      </c>
      <c r="F228" s="88">
        <v>100</v>
      </c>
      <c r="G228" s="120">
        <v>99.9</v>
      </c>
      <c r="H228" s="89">
        <v>238.4682</v>
      </c>
      <c r="I228" s="89">
        <v>97.0675</v>
      </c>
      <c r="J228" s="63">
        <v>0.021</v>
      </c>
      <c r="K228" s="120">
        <v>4.24</v>
      </c>
    </row>
    <row r="229" spans="1:11" s="7" customFormat="1" ht="12.75">
      <c r="A229" s="85" t="s">
        <v>1850</v>
      </c>
      <c r="B229" s="86" t="s">
        <v>1851</v>
      </c>
      <c r="C229" s="87" t="str">
        <f t="shared" si="3"/>
        <v>2 lat/a od dnia zakupu</v>
      </c>
      <c r="D229" s="87">
        <v>43221</v>
      </c>
      <c r="E229" s="87">
        <v>43251</v>
      </c>
      <c r="F229" s="88">
        <v>100</v>
      </c>
      <c r="G229" s="120">
        <v>99.9</v>
      </c>
      <c r="H229" s="89">
        <v>216.0898</v>
      </c>
      <c r="I229" s="89">
        <v>77.298</v>
      </c>
      <c r="J229" s="63">
        <v>0.021</v>
      </c>
      <c r="K229" s="120">
        <v>4.24</v>
      </c>
    </row>
    <row r="230" spans="1:11" s="7" customFormat="1" ht="12.75">
      <c r="A230" s="85" t="s">
        <v>1869</v>
      </c>
      <c r="B230" s="86" t="s">
        <v>1871</v>
      </c>
      <c r="C230" s="87" t="str">
        <f t="shared" si="3"/>
        <v>2 lat/a od dnia zakupu</v>
      </c>
      <c r="D230" s="87">
        <v>43252</v>
      </c>
      <c r="E230" s="87">
        <v>43281</v>
      </c>
      <c r="F230" s="88">
        <v>100</v>
      </c>
      <c r="G230" s="120">
        <v>99.9</v>
      </c>
      <c r="H230" s="89">
        <v>210.2175</v>
      </c>
      <c r="I230" s="89">
        <v>62.0774</v>
      </c>
      <c r="J230" s="63">
        <v>0.021</v>
      </c>
      <c r="K230" s="120">
        <v>4.24</v>
      </c>
    </row>
    <row r="231" spans="1:11" s="7" customFormat="1" ht="12.75">
      <c r="A231" s="85" t="s">
        <v>1885</v>
      </c>
      <c r="B231" s="86" t="s">
        <v>1886</v>
      </c>
      <c r="C231" s="87" t="str">
        <f t="shared" si="3"/>
        <v>2 lat/a od dnia zakupu</v>
      </c>
      <c r="D231" s="87">
        <v>43282</v>
      </c>
      <c r="E231" s="87">
        <v>43312</v>
      </c>
      <c r="F231" s="88">
        <v>100</v>
      </c>
      <c r="G231" s="120">
        <v>99.9</v>
      </c>
      <c r="H231" s="89">
        <v>343.4217</v>
      </c>
      <c r="I231" s="89">
        <v>172.2768</v>
      </c>
      <c r="J231" s="63">
        <v>0.021</v>
      </c>
      <c r="K231" s="120">
        <v>4.24</v>
      </c>
    </row>
    <row r="232" spans="1:11" ht="12.75">
      <c r="A232" s="85" t="s">
        <v>1899</v>
      </c>
      <c r="B232" s="86" t="s">
        <v>1900</v>
      </c>
      <c r="C232" s="87" t="str">
        <f t="shared" si="3"/>
        <v>2 lat/a od dnia zakupu</v>
      </c>
      <c r="D232" s="87">
        <v>43313</v>
      </c>
      <c r="E232" s="87">
        <v>43343</v>
      </c>
      <c r="F232" s="88">
        <v>100</v>
      </c>
      <c r="G232" s="120">
        <v>99.9</v>
      </c>
      <c r="H232" s="89">
        <v>272.6566</v>
      </c>
      <c r="I232" s="89">
        <v>101.78</v>
      </c>
      <c r="J232" s="63">
        <v>0.021</v>
      </c>
      <c r="K232" s="120">
        <v>4.24</v>
      </c>
    </row>
    <row r="233" spans="1:11" ht="12.75">
      <c r="A233" s="85" t="s">
        <v>1913</v>
      </c>
      <c r="B233" s="86" t="s">
        <v>1914</v>
      </c>
      <c r="C233" s="87" t="str">
        <f t="shared" si="3"/>
        <v>2 lat/a od dnia zakupu</v>
      </c>
      <c r="D233" s="87">
        <v>43344</v>
      </c>
      <c r="E233" s="87">
        <v>43373</v>
      </c>
      <c r="F233" s="88">
        <v>100</v>
      </c>
      <c r="G233" s="120">
        <v>99.9</v>
      </c>
      <c r="H233" s="89">
        <v>242.2559</v>
      </c>
      <c r="I233" s="89">
        <v>99.5497</v>
      </c>
      <c r="J233" s="63">
        <v>0.021</v>
      </c>
      <c r="K233" s="120">
        <v>4.24</v>
      </c>
    </row>
    <row r="234" spans="1:11" ht="12.75">
      <c r="A234" s="85" t="s">
        <v>1927</v>
      </c>
      <c r="B234" s="86" t="s">
        <v>1928</v>
      </c>
      <c r="C234" s="87" t="str">
        <f t="shared" si="3"/>
        <v>2 lat/a od dnia zakupu</v>
      </c>
      <c r="D234" s="87">
        <v>43374</v>
      </c>
      <c r="E234" s="87">
        <v>43404</v>
      </c>
      <c r="F234" s="88">
        <v>100</v>
      </c>
      <c r="G234" s="120">
        <v>99.8</v>
      </c>
      <c r="H234" s="89">
        <v>488.333</v>
      </c>
      <c r="I234" s="89">
        <v>318.4656</v>
      </c>
      <c r="J234" s="63">
        <v>0.021</v>
      </c>
      <c r="K234" s="120">
        <v>4.24</v>
      </c>
    </row>
    <row r="235" spans="1:11" ht="12.75">
      <c r="A235" s="85" t="s">
        <v>1941</v>
      </c>
      <c r="B235" s="86" t="s">
        <v>1942</v>
      </c>
      <c r="C235" s="87" t="str">
        <f t="shared" si="3"/>
        <v>2 lat/a od dnia zakupu</v>
      </c>
      <c r="D235" s="87">
        <v>43405</v>
      </c>
      <c r="E235" s="87">
        <v>43434</v>
      </c>
      <c r="F235" s="88">
        <v>100</v>
      </c>
      <c r="G235" s="120">
        <v>99.9</v>
      </c>
      <c r="H235" s="89">
        <v>288.1244</v>
      </c>
      <c r="I235" s="89">
        <v>103.7736</v>
      </c>
      <c r="J235" s="63">
        <v>0.021</v>
      </c>
      <c r="K235" s="120">
        <v>4.24</v>
      </c>
    </row>
    <row r="236" spans="1:11" ht="12.75">
      <c r="A236" s="90" t="s">
        <v>1955</v>
      </c>
      <c r="B236" s="91" t="s">
        <v>1956</v>
      </c>
      <c r="C236" s="92" t="str">
        <f t="shared" si="3"/>
        <v>2 lat/a od dnia zakupu</v>
      </c>
      <c r="D236" s="92">
        <v>43435</v>
      </c>
      <c r="E236" s="92">
        <v>43465</v>
      </c>
      <c r="F236" s="93">
        <v>100</v>
      </c>
      <c r="G236" s="135">
        <v>99.9</v>
      </c>
      <c r="H236" s="94">
        <v>263.2746</v>
      </c>
      <c r="I236" s="94">
        <v>94.7344</v>
      </c>
      <c r="J236" s="65">
        <v>0.021</v>
      </c>
      <c r="K236" s="135">
        <v>4.24</v>
      </c>
    </row>
    <row r="237" spans="1:11" ht="12.75">
      <c r="A237" s="113" t="s">
        <v>1969</v>
      </c>
      <c r="B237" s="114" t="s">
        <v>1970</v>
      </c>
      <c r="C237" s="136" t="str">
        <f t="shared" si="3"/>
        <v>2 lat/a od dnia zakupu</v>
      </c>
      <c r="D237" s="136">
        <v>43466</v>
      </c>
      <c r="E237" s="136">
        <v>43496</v>
      </c>
      <c r="F237" s="137">
        <v>100</v>
      </c>
      <c r="G237" s="138">
        <v>99.9</v>
      </c>
      <c r="H237" s="139">
        <v>308.6918</v>
      </c>
      <c r="I237" s="139">
        <v>122.9928</v>
      </c>
      <c r="J237" s="66">
        <v>0.021</v>
      </c>
      <c r="K237" s="138">
        <v>4.24</v>
      </c>
    </row>
    <row r="238" spans="1:11" ht="12.75">
      <c r="A238" s="85" t="s">
        <v>1983</v>
      </c>
      <c r="B238" s="86" t="s">
        <v>1984</v>
      </c>
      <c r="C238" s="87" t="str">
        <f t="shared" si="3"/>
        <v>2 lat/a od dnia zakupu</v>
      </c>
      <c r="D238" s="87">
        <v>43497</v>
      </c>
      <c r="E238" s="87">
        <v>43524</v>
      </c>
      <c r="F238" s="88">
        <v>100</v>
      </c>
      <c r="G238" s="120">
        <v>99.9</v>
      </c>
      <c r="H238" s="89">
        <v>250.1677</v>
      </c>
      <c r="I238" s="89">
        <v>83.1072</v>
      </c>
      <c r="J238" s="63">
        <v>0.021</v>
      </c>
      <c r="K238" s="120">
        <v>4.24</v>
      </c>
    </row>
    <row r="239" spans="1:11" ht="12.75">
      <c r="A239" s="85" t="s">
        <v>1997</v>
      </c>
      <c r="B239" s="86" t="s">
        <v>1998</v>
      </c>
      <c r="C239" s="87" t="s">
        <v>2015</v>
      </c>
      <c r="D239" s="87">
        <v>43525</v>
      </c>
      <c r="E239" s="87">
        <v>43555</v>
      </c>
      <c r="F239" s="88">
        <v>100</v>
      </c>
      <c r="G239" s="120">
        <v>99.9</v>
      </c>
      <c r="H239" s="89">
        <v>301.5434</v>
      </c>
      <c r="I239" s="89">
        <v>108.8583</v>
      </c>
      <c r="J239" s="63">
        <v>0.021</v>
      </c>
      <c r="K239" s="120">
        <v>4.24</v>
      </c>
    </row>
    <row r="240" spans="1:11" ht="12.75">
      <c r="A240" s="85" t="s">
        <v>2016</v>
      </c>
      <c r="B240" s="86" t="s">
        <v>2017</v>
      </c>
      <c r="C240" s="87" t="str">
        <f t="shared" si="3"/>
        <v>2 lat/a od dnia zakupu</v>
      </c>
      <c r="D240" s="87">
        <v>43556</v>
      </c>
      <c r="E240" s="87">
        <v>43585</v>
      </c>
      <c r="F240" s="88">
        <v>100</v>
      </c>
      <c r="G240" s="120">
        <v>99.8</v>
      </c>
      <c r="H240" s="89">
        <v>327.8246</v>
      </c>
      <c r="I240" s="89">
        <v>147.6521</v>
      </c>
      <c r="J240" s="63">
        <v>0.021</v>
      </c>
      <c r="K240" s="120">
        <v>4.24</v>
      </c>
    </row>
    <row r="241" spans="1:11" ht="12.75">
      <c r="A241" s="85" t="s">
        <v>2032</v>
      </c>
      <c r="B241" s="86" t="s">
        <v>2033</v>
      </c>
      <c r="C241" s="87" t="str">
        <f t="shared" si="3"/>
        <v>2 lat/a od dnia zakupu</v>
      </c>
      <c r="D241" s="87">
        <v>43586</v>
      </c>
      <c r="E241" s="87">
        <v>43616</v>
      </c>
      <c r="F241" s="88">
        <v>100</v>
      </c>
      <c r="G241" s="120">
        <v>99.9</v>
      </c>
      <c r="H241" s="89">
        <v>323.1313</v>
      </c>
      <c r="I241" s="89">
        <v>100.4481</v>
      </c>
      <c r="J241" s="63">
        <v>0.021</v>
      </c>
      <c r="K241" s="120">
        <v>4.24</v>
      </c>
    </row>
    <row r="242" spans="1:11" ht="12.75">
      <c r="A242" s="85" t="s">
        <v>2047</v>
      </c>
      <c r="B242" s="86" t="s">
        <v>2048</v>
      </c>
      <c r="C242" s="87" t="str">
        <f t="shared" si="3"/>
        <v>2 lat/a od dnia zakupu</v>
      </c>
      <c r="D242" s="87">
        <v>43617</v>
      </c>
      <c r="E242" s="87">
        <v>43646</v>
      </c>
      <c r="F242" s="88">
        <v>100</v>
      </c>
      <c r="G242" s="120">
        <v>99.9</v>
      </c>
      <c r="H242" s="89">
        <v>260.9832</v>
      </c>
      <c r="I242" s="89">
        <v>101.1561</v>
      </c>
      <c r="J242" s="63">
        <v>0.021</v>
      </c>
      <c r="K242" s="120">
        <v>4.24</v>
      </c>
    </row>
    <row r="243" spans="1:11" ht="12.75">
      <c r="A243" s="85" t="s">
        <v>2062</v>
      </c>
      <c r="B243" s="86" t="s">
        <v>2063</v>
      </c>
      <c r="C243" s="87" t="str">
        <f t="shared" si="3"/>
        <v>2 lat/a od dnia zakupu</v>
      </c>
      <c r="D243" s="87">
        <v>43647</v>
      </c>
      <c r="E243" s="87">
        <v>43677</v>
      </c>
      <c r="F243" s="88">
        <v>100</v>
      </c>
      <c r="G243" s="120">
        <v>99.9</v>
      </c>
      <c r="H243" s="89">
        <v>336.3693</v>
      </c>
      <c r="I243" s="89">
        <v>143.5669</v>
      </c>
      <c r="J243" s="63">
        <v>0.021</v>
      </c>
      <c r="K243" s="120">
        <v>4.24</v>
      </c>
    </row>
    <row r="244" spans="1:11" ht="12.75">
      <c r="A244" s="85" t="s">
        <v>2076</v>
      </c>
      <c r="B244" s="86" t="s">
        <v>2077</v>
      </c>
      <c r="C244" s="87" t="str">
        <f t="shared" si="3"/>
        <v>2 lat/a od dnia zakupu</v>
      </c>
      <c r="D244" s="87">
        <v>43678</v>
      </c>
      <c r="E244" s="87">
        <v>43708</v>
      </c>
      <c r="F244" s="88">
        <v>100</v>
      </c>
      <c r="G244" s="120">
        <v>99.9</v>
      </c>
      <c r="H244" s="89">
        <v>304.4466</v>
      </c>
      <c r="I244" s="89">
        <v>114.3677</v>
      </c>
      <c r="J244" s="63">
        <v>0.021</v>
      </c>
      <c r="K244" s="120">
        <v>4.24</v>
      </c>
    </row>
    <row r="245" spans="1:11" ht="12.75">
      <c r="A245" s="85" t="s">
        <v>2091</v>
      </c>
      <c r="B245" s="86" t="s">
        <v>2090</v>
      </c>
      <c r="C245" s="87" t="str">
        <f t="shared" si="3"/>
        <v>2 lat/a od dnia zakupu</v>
      </c>
      <c r="D245" s="87">
        <v>43709</v>
      </c>
      <c r="E245" s="87">
        <v>43738</v>
      </c>
      <c r="F245" s="88">
        <v>100</v>
      </c>
      <c r="G245" s="120">
        <v>99.9</v>
      </c>
      <c r="H245" s="89">
        <v>276.1602</v>
      </c>
      <c r="I245" s="89">
        <v>102.5163</v>
      </c>
      <c r="J245" s="63">
        <v>0.021</v>
      </c>
      <c r="K245" s="120">
        <v>4.24</v>
      </c>
    </row>
    <row r="246" spans="1:11" ht="12.75">
      <c r="A246" s="85" t="s">
        <v>2105</v>
      </c>
      <c r="B246" s="86" t="s">
        <v>2104</v>
      </c>
      <c r="C246" s="87" t="str">
        <f t="shared" si="3"/>
        <v>2 lat/a od dnia zakupu</v>
      </c>
      <c r="D246" s="87">
        <v>43739</v>
      </c>
      <c r="E246" s="87">
        <v>43769</v>
      </c>
      <c r="F246" s="88">
        <v>100</v>
      </c>
      <c r="G246" s="120">
        <v>99.9</v>
      </c>
      <c r="H246" s="89">
        <v>381.9258</v>
      </c>
      <c r="I246" s="89">
        <v>113.4703</v>
      </c>
      <c r="J246" s="63">
        <v>0.021</v>
      </c>
      <c r="K246" s="120">
        <v>4.24</v>
      </c>
    </row>
    <row r="247" spans="1:11" ht="12.75">
      <c r="A247" s="85" t="s">
        <v>2118</v>
      </c>
      <c r="B247" s="86" t="s">
        <v>2119</v>
      </c>
      <c r="C247" s="87" t="str">
        <f t="shared" si="3"/>
        <v>2 lat/a od dnia zakupu</v>
      </c>
      <c r="D247" s="87">
        <v>43770</v>
      </c>
      <c r="E247" s="87">
        <v>43799</v>
      </c>
      <c r="F247" s="88">
        <v>100</v>
      </c>
      <c r="G247" s="120">
        <v>99.9</v>
      </c>
      <c r="H247" s="89">
        <v>297.5694</v>
      </c>
      <c r="I247" s="89">
        <v>113.6547</v>
      </c>
      <c r="J247" s="63">
        <v>0.021</v>
      </c>
      <c r="K247" s="120">
        <v>4.24</v>
      </c>
    </row>
    <row r="248" spans="1:11" ht="12.75">
      <c r="A248" s="90" t="s">
        <v>2132</v>
      </c>
      <c r="B248" s="91" t="s">
        <v>2133</v>
      </c>
      <c r="C248" s="92" t="str">
        <f t="shared" si="3"/>
        <v>2 lat/a od dnia zakupu</v>
      </c>
      <c r="D248" s="92">
        <v>43800</v>
      </c>
      <c r="E248" s="92">
        <v>43830</v>
      </c>
      <c r="F248" s="93">
        <v>100</v>
      </c>
      <c r="G248" s="135">
        <v>99.9</v>
      </c>
      <c r="H248" s="94">
        <v>319.2963</v>
      </c>
      <c r="I248" s="94">
        <v>130.3383</v>
      </c>
      <c r="J248" s="65">
        <v>0.021</v>
      </c>
      <c r="K248" s="135">
        <v>4.24</v>
      </c>
    </row>
    <row r="249" spans="1:11" ht="12.75">
      <c r="A249" s="113" t="s">
        <v>2146</v>
      </c>
      <c r="B249" s="114" t="s">
        <v>2147</v>
      </c>
      <c r="C249" s="136" t="str">
        <f t="shared" si="3"/>
        <v>2 lat/a od dnia zakupu</v>
      </c>
      <c r="D249" s="136">
        <v>43831</v>
      </c>
      <c r="E249" s="136">
        <v>43861</v>
      </c>
      <c r="F249" s="137">
        <v>100</v>
      </c>
      <c r="G249" s="138">
        <v>99.9</v>
      </c>
      <c r="H249" s="139">
        <v>345.4373</v>
      </c>
      <c r="I249" s="139">
        <v>132.6111</v>
      </c>
      <c r="J249" s="66">
        <v>0.021</v>
      </c>
      <c r="K249" s="138">
        <v>4.24</v>
      </c>
    </row>
    <row r="250" spans="1:11" ht="12.75">
      <c r="A250" s="85" t="s">
        <v>2160</v>
      </c>
      <c r="B250" s="86" t="s">
        <v>2161</v>
      </c>
      <c r="C250" s="87" t="str">
        <f t="shared" si="3"/>
        <v>2 lat/a od dnia zakupu</v>
      </c>
      <c r="D250" s="87">
        <v>43862</v>
      </c>
      <c r="E250" s="87">
        <v>43889</v>
      </c>
      <c r="F250" s="88">
        <v>100</v>
      </c>
      <c r="G250" s="120">
        <v>99.9</v>
      </c>
      <c r="H250" s="89">
        <v>373.8672</v>
      </c>
      <c r="I250" s="89">
        <v>174.8497</v>
      </c>
      <c r="J250" s="63">
        <v>0.021</v>
      </c>
      <c r="K250" s="120">
        <v>4.24</v>
      </c>
    </row>
    <row r="251" spans="1:11" ht="12.75">
      <c r="A251" s="85" t="s">
        <v>2174</v>
      </c>
      <c r="B251" s="86" t="s">
        <v>2180</v>
      </c>
      <c r="C251" s="87" t="str">
        <f t="shared" si="3"/>
        <v>2 lat/a od dnia zakupu</v>
      </c>
      <c r="D251" s="87">
        <v>43891</v>
      </c>
      <c r="E251" s="87">
        <v>43921</v>
      </c>
      <c r="F251" s="88">
        <v>100</v>
      </c>
      <c r="G251" s="120">
        <v>99.9</v>
      </c>
      <c r="H251" s="89">
        <v>358.3588</v>
      </c>
      <c r="I251" s="89">
        <v>121.262</v>
      </c>
      <c r="J251" s="63">
        <v>0.021</v>
      </c>
      <c r="K251" s="120">
        <v>4.24</v>
      </c>
    </row>
    <row r="252" spans="1:11" ht="12.75">
      <c r="A252" s="85" t="s">
        <v>2188</v>
      </c>
      <c r="B252" s="86" t="s">
        <v>2189</v>
      </c>
      <c r="C252" s="87" t="str">
        <f t="shared" si="3"/>
        <v>2 lat/a od dnia zakupu</v>
      </c>
      <c r="D252" s="87">
        <v>43922</v>
      </c>
      <c r="E252" s="87">
        <v>43951</v>
      </c>
      <c r="F252" s="88">
        <v>100</v>
      </c>
      <c r="G252" s="120">
        <v>99.9</v>
      </c>
      <c r="H252" s="89">
        <v>799.4063</v>
      </c>
      <c r="I252" s="89">
        <v>122.7873</v>
      </c>
      <c r="J252" s="63">
        <v>0.021</v>
      </c>
      <c r="K252" s="120">
        <v>4.24</v>
      </c>
    </row>
    <row r="253" spans="1:11" ht="12.75">
      <c r="A253" s="85" t="s">
        <v>2200</v>
      </c>
      <c r="B253" s="86" t="s">
        <v>2201</v>
      </c>
      <c r="C253" s="87" t="str">
        <f t="shared" si="3"/>
        <v>2 lat/a od dnia zakupu</v>
      </c>
      <c r="D253" s="87">
        <v>43952</v>
      </c>
      <c r="E253" s="87">
        <v>43982</v>
      </c>
      <c r="F253" s="88">
        <v>100</v>
      </c>
      <c r="G253" s="120">
        <v>99.9</v>
      </c>
      <c r="H253" s="89">
        <v>160.0435</v>
      </c>
      <c r="I253" s="89">
        <v>73.1269</v>
      </c>
      <c r="J253" s="63">
        <v>0.01</v>
      </c>
      <c r="K253" s="120">
        <v>2.01</v>
      </c>
    </row>
    <row r="254" spans="1:11" ht="12.75">
      <c r="A254" s="85" t="s">
        <v>2216</v>
      </c>
      <c r="B254" s="86" t="s">
        <v>2217</v>
      </c>
      <c r="C254" s="87" t="str">
        <f t="shared" si="3"/>
        <v>2 lat/a od dnia zakupu</v>
      </c>
      <c r="D254" s="87">
        <v>43983</v>
      </c>
      <c r="E254" s="87">
        <v>44012</v>
      </c>
      <c r="F254" s="88">
        <v>100</v>
      </c>
      <c r="G254" s="120">
        <v>99.9</v>
      </c>
      <c r="H254" s="89">
        <v>202.3877</v>
      </c>
      <c r="I254" s="89">
        <v>59.3351</v>
      </c>
      <c r="J254" s="63">
        <v>0.01</v>
      </c>
      <c r="K254" s="120">
        <v>2.01</v>
      </c>
    </row>
    <row r="255" spans="1:11" ht="12.75">
      <c r="A255" s="85" t="s">
        <v>2230</v>
      </c>
      <c r="B255" s="86" t="s">
        <v>2231</v>
      </c>
      <c r="C255" s="87" t="str">
        <f t="shared" si="3"/>
        <v>2 lat/a od dnia zakupu</v>
      </c>
      <c r="D255" s="87">
        <v>44013</v>
      </c>
      <c r="E255" s="87">
        <v>44043</v>
      </c>
      <c r="F255" s="88">
        <v>100</v>
      </c>
      <c r="G255" s="120">
        <v>99.9</v>
      </c>
      <c r="H255" s="89">
        <v>344.4664</v>
      </c>
      <c r="I255" s="89">
        <v>170.4072</v>
      </c>
      <c r="J255" s="63">
        <v>0.01</v>
      </c>
      <c r="K255" s="120">
        <v>2.01</v>
      </c>
    </row>
    <row r="256" spans="1:11" ht="12.75">
      <c r="A256" s="85" t="s">
        <v>2245</v>
      </c>
      <c r="B256" s="86" t="s">
        <v>2244</v>
      </c>
      <c r="C256" s="87" t="str">
        <f t="shared" si="3"/>
        <v>2 lat/a od dnia zakupu</v>
      </c>
      <c r="D256" s="87">
        <v>44044</v>
      </c>
      <c r="E256" s="87">
        <v>44074</v>
      </c>
      <c r="F256" s="88">
        <v>100</v>
      </c>
      <c r="G256" s="120">
        <v>99.9</v>
      </c>
      <c r="H256" s="89">
        <v>269.5963</v>
      </c>
      <c r="I256" s="89">
        <v>98.5165</v>
      </c>
      <c r="J256" s="63">
        <v>0.01</v>
      </c>
      <c r="K256" s="120">
        <v>2.01</v>
      </c>
    </row>
    <row r="257" spans="1:11" ht="12.75">
      <c r="A257" s="85" t="s">
        <v>2258</v>
      </c>
      <c r="B257" s="86" t="s">
        <v>2257</v>
      </c>
      <c r="C257" s="87" t="str">
        <f t="shared" si="3"/>
        <v>2 lat/a od dnia zakupu</v>
      </c>
      <c r="D257" s="87">
        <v>44075</v>
      </c>
      <c r="E257" s="87">
        <v>44104</v>
      </c>
      <c r="F257" s="88">
        <v>100</v>
      </c>
      <c r="G257" s="120">
        <v>99.9</v>
      </c>
      <c r="H257" s="89">
        <v>278.3656</v>
      </c>
      <c r="I257" s="89">
        <v>82.0355</v>
      </c>
      <c r="J257" s="63">
        <v>0.01</v>
      </c>
      <c r="K257" s="120">
        <v>2.01</v>
      </c>
    </row>
    <row r="258" spans="1:11" ht="12.75">
      <c r="A258" s="85" t="s">
        <v>2272</v>
      </c>
      <c r="B258" s="86" t="s">
        <v>2273</v>
      </c>
      <c r="C258" s="87" t="str">
        <f t="shared" si="3"/>
        <v>2 lat/a od dnia zakupu</v>
      </c>
      <c r="D258" s="87">
        <v>44105</v>
      </c>
      <c r="E258" s="87">
        <v>44135</v>
      </c>
      <c r="F258" s="88">
        <v>100</v>
      </c>
      <c r="G258" s="120">
        <v>99.9</v>
      </c>
      <c r="H258" s="89">
        <v>368.5024</v>
      </c>
      <c r="I258" s="89">
        <v>185.3048</v>
      </c>
      <c r="J258" s="63">
        <v>0.01</v>
      </c>
      <c r="K258" s="120">
        <v>2.01</v>
      </c>
    </row>
    <row r="259" spans="1:11" ht="12.75">
      <c r="A259" s="85" t="s">
        <v>2286</v>
      </c>
      <c r="B259" s="86" t="s">
        <v>2287</v>
      </c>
      <c r="C259" s="87" t="str">
        <f t="shared" si="3"/>
        <v>2 lat/a od dnia zakupu</v>
      </c>
      <c r="D259" s="87">
        <v>44136</v>
      </c>
      <c r="E259" s="87">
        <v>44165</v>
      </c>
      <c r="F259" s="88">
        <v>100</v>
      </c>
      <c r="G259" s="120">
        <v>99.9</v>
      </c>
      <c r="H259" s="89">
        <v>235.4141</v>
      </c>
      <c r="I259" s="89">
        <v>87.8415</v>
      </c>
      <c r="J259" s="63">
        <v>0.01</v>
      </c>
      <c r="K259" s="120">
        <v>2.01</v>
      </c>
    </row>
    <row r="260" spans="1:11" ht="12.75">
      <c r="A260" s="90" t="s">
        <v>2300</v>
      </c>
      <c r="B260" s="91" t="s">
        <v>2301</v>
      </c>
      <c r="C260" s="92" t="str">
        <f t="shared" si="3"/>
        <v>2 lat/a od dnia zakupu</v>
      </c>
      <c r="D260" s="92">
        <v>44166</v>
      </c>
      <c r="E260" s="92">
        <v>44196</v>
      </c>
      <c r="F260" s="93">
        <v>100</v>
      </c>
      <c r="G260" s="135">
        <v>99.9</v>
      </c>
      <c r="H260" s="94">
        <v>237.2702</v>
      </c>
      <c r="I260" s="94">
        <v>94.1147</v>
      </c>
      <c r="J260" s="65">
        <v>0.01</v>
      </c>
      <c r="K260" s="135">
        <v>2.01</v>
      </c>
    </row>
    <row r="261" spans="1:11" ht="12.75">
      <c r="A261" s="113" t="s">
        <v>2313</v>
      </c>
      <c r="B261" s="114" t="s">
        <v>2320</v>
      </c>
      <c r="C261" s="136" t="str">
        <f t="shared" si="3"/>
        <v>2 lat/a od dnia zakupu</v>
      </c>
      <c r="D261" s="136">
        <v>44197</v>
      </c>
      <c r="E261" s="136">
        <v>44227</v>
      </c>
      <c r="F261" s="137">
        <v>100</v>
      </c>
      <c r="G261" s="138">
        <v>99.9</v>
      </c>
      <c r="H261" s="139">
        <v>327.5039</v>
      </c>
      <c r="I261" s="139">
        <v>116.489</v>
      </c>
      <c r="J261" s="66">
        <v>0.01</v>
      </c>
      <c r="K261" s="138">
        <v>2.01</v>
      </c>
    </row>
    <row r="262" spans="1:11" ht="12.75">
      <c r="A262" s="85" t="s">
        <v>2329</v>
      </c>
      <c r="B262" s="86" t="s">
        <v>2328</v>
      </c>
      <c r="C262" s="87" t="str">
        <f t="shared" si="3"/>
        <v>2 lat/a od dnia zakupu</v>
      </c>
      <c r="D262" s="87">
        <v>44228</v>
      </c>
      <c r="E262" s="87">
        <v>44255</v>
      </c>
      <c r="F262" s="88">
        <v>100</v>
      </c>
      <c r="G262" s="120">
        <v>99.9</v>
      </c>
      <c r="H262" s="89">
        <v>295.9248</v>
      </c>
      <c r="I262" s="89">
        <v>81.5346</v>
      </c>
      <c r="J262" s="63">
        <v>0.01</v>
      </c>
      <c r="K262" s="120">
        <v>2.01</v>
      </c>
    </row>
    <row r="263" spans="1:11" ht="12.75">
      <c r="A263" s="85" t="s">
        <v>2342</v>
      </c>
      <c r="B263" s="86" t="s">
        <v>2343</v>
      </c>
      <c r="C263" s="87" t="str">
        <f t="shared" si="3"/>
        <v>2 lat/a od dnia zakupu</v>
      </c>
      <c r="D263" s="87">
        <v>44256</v>
      </c>
      <c r="E263" s="87">
        <v>44286</v>
      </c>
      <c r="F263" s="88">
        <v>100</v>
      </c>
      <c r="G263" s="120">
        <v>99.9</v>
      </c>
      <c r="H263" s="89">
        <v>328.171</v>
      </c>
      <c r="I263" s="89">
        <v>84.7512</v>
      </c>
      <c r="J263" s="63">
        <v>0.01</v>
      </c>
      <c r="K263" s="120">
        <v>2.01</v>
      </c>
    </row>
    <row r="264" spans="1:11" ht="12.75">
      <c r="A264" s="85" t="s">
        <v>2356</v>
      </c>
      <c r="B264" s="86" t="s">
        <v>2357</v>
      </c>
      <c r="C264" s="87" t="str">
        <f t="shared" si="3"/>
        <v>2 lat/a od dnia zakupu</v>
      </c>
      <c r="D264" s="87">
        <v>44287</v>
      </c>
      <c r="E264" s="87">
        <v>44316</v>
      </c>
      <c r="F264" s="88">
        <v>100</v>
      </c>
      <c r="G264" s="120">
        <v>99.9</v>
      </c>
      <c r="H264" s="89">
        <v>354.8169</v>
      </c>
      <c r="I264" s="89">
        <v>108.2517</v>
      </c>
      <c r="J264" s="63">
        <v>0.01</v>
      </c>
      <c r="K264" s="120">
        <v>2.01</v>
      </c>
    </row>
    <row r="265" spans="1:11" ht="12.75">
      <c r="A265" s="85" t="s">
        <v>2370</v>
      </c>
      <c r="B265" s="86" t="s">
        <v>2372</v>
      </c>
      <c r="C265" s="87" t="str">
        <f t="shared" si="3"/>
        <v>2 lat/a od dnia zakupu</v>
      </c>
      <c r="D265" s="87">
        <v>44317</v>
      </c>
      <c r="E265" s="87">
        <v>44347</v>
      </c>
      <c r="F265" s="88">
        <v>100</v>
      </c>
      <c r="G265" s="120">
        <v>99.9</v>
      </c>
      <c r="H265" s="89">
        <v>303.7655</v>
      </c>
      <c r="I265" s="89">
        <v>97.9618</v>
      </c>
      <c r="J265" s="63">
        <v>0.01</v>
      </c>
      <c r="K265" s="120">
        <v>2.01</v>
      </c>
    </row>
    <row r="266" spans="1:11" ht="12.75">
      <c r="A266" s="85" t="s">
        <v>2384</v>
      </c>
      <c r="B266" s="86" t="s">
        <v>2385</v>
      </c>
      <c r="C266" s="87" t="str">
        <f t="shared" si="3"/>
        <v>2 lat/a od dnia zakupu</v>
      </c>
      <c r="D266" s="87">
        <v>44348</v>
      </c>
      <c r="E266" s="87">
        <v>44377</v>
      </c>
      <c r="F266" s="88">
        <v>100</v>
      </c>
      <c r="G266" s="120">
        <v>99.9</v>
      </c>
      <c r="H266" s="89">
        <v>229.5252</v>
      </c>
      <c r="I266" s="89">
        <v>83.7513</v>
      </c>
      <c r="J266" s="63">
        <v>0.01</v>
      </c>
      <c r="K266" s="120">
        <v>2.01</v>
      </c>
    </row>
    <row r="267" spans="1:11" ht="12.75">
      <c r="A267" s="85" t="s">
        <v>2398</v>
      </c>
      <c r="B267" s="86" t="s">
        <v>2399</v>
      </c>
      <c r="C267" s="87" t="str">
        <f t="shared" si="3"/>
        <v>2 lat/a od dnia zakupu</v>
      </c>
      <c r="D267" s="87">
        <v>44378</v>
      </c>
      <c r="E267" s="87">
        <v>44408</v>
      </c>
      <c r="F267" s="88">
        <v>100</v>
      </c>
      <c r="G267" s="120">
        <v>99.9</v>
      </c>
      <c r="H267" s="89">
        <v>266.0324</v>
      </c>
      <c r="I267" s="89">
        <v>120.4471</v>
      </c>
      <c r="J267" s="63">
        <v>0.01</v>
      </c>
      <c r="K267" s="120">
        <v>2.01</v>
      </c>
    </row>
    <row r="268" spans="1:11" ht="12.75">
      <c r="A268" s="85" t="s">
        <v>2412</v>
      </c>
      <c r="B268" s="86" t="s">
        <v>2418</v>
      </c>
      <c r="C268" s="87" t="str">
        <f t="shared" si="3"/>
        <v>2 lat/a od dnia zakupu</v>
      </c>
      <c r="D268" s="87">
        <v>44409</v>
      </c>
      <c r="E268" s="87">
        <v>44439</v>
      </c>
      <c r="F268" s="88">
        <v>100</v>
      </c>
      <c r="G268" s="120">
        <v>99.9</v>
      </c>
      <c r="H268" s="89">
        <v>223.431</v>
      </c>
      <c r="I268" s="89">
        <v>87.5627</v>
      </c>
      <c r="J268" s="63">
        <v>0.01</v>
      </c>
      <c r="K268" s="120">
        <v>2.01</v>
      </c>
    </row>
    <row r="269" spans="1:11" ht="12.75">
      <c r="A269" s="85" t="s">
        <v>2426</v>
      </c>
      <c r="B269" s="86" t="s">
        <v>2427</v>
      </c>
      <c r="C269" s="87" t="str">
        <f t="shared" si="3"/>
        <v>2 lat/a od dnia zakupu</v>
      </c>
      <c r="D269" s="87">
        <v>44440</v>
      </c>
      <c r="E269" s="87">
        <v>44469</v>
      </c>
      <c r="F269" s="88">
        <v>100</v>
      </c>
      <c r="G269" s="120">
        <v>99.9</v>
      </c>
      <c r="H269" s="89">
        <v>196.6451</v>
      </c>
      <c r="I269" s="89">
        <v>73.9122</v>
      </c>
      <c r="J269" s="63">
        <v>0.01</v>
      </c>
      <c r="K269" s="120">
        <v>2.01</v>
      </c>
    </row>
    <row r="270" spans="1:11" ht="12.75">
      <c r="A270" s="85" t="s">
        <v>2440</v>
      </c>
      <c r="B270" s="86" t="s">
        <v>2441</v>
      </c>
      <c r="C270" s="87" t="str">
        <f t="shared" si="3"/>
        <v>2 lat/a od dnia zakupu</v>
      </c>
      <c r="D270" s="87">
        <v>44470</v>
      </c>
      <c r="E270" s="87">
        <v>44500</v>
      </c>
      <c r="F270" s="88">
        <v>100</v>
      </c>
      <c r="G270" s="120">
        <v>99.9</v>
      </c>
      <c r="H270" s="89">
        <v>169.5602</v>
      </c>
      <c r="I270" s="89">
        <v>76.9125</v>
      </c>
      <c r="J270" s="63">
        <v>0.01</v>
      </c>
      <c r="K270" s="120">
        <v>2.01</v>
      </c>
    </row>
    <row r="271" spans="1:11" ht="12.75">
      <c r="A271" s="85" t="s">
        <v>2453</v>
      </c>
      <c r="B271" s="86" t="s">
        <v>2460</v>
      </c>
      <c r="C271" s="87" t="str">
        <f t="shared" si="3"/>
        <v>2 lat/a od dnia zakupu</v>
      </c>
      <c r="D271" s="87">
        <v>44501</v>
      </c>
      <c r="E271" s="87">
        <v>44530</v>
      </c>
      <c r="F271" s="88">
        <v>100</v>
      </c>
      <c r="G271" s="120">
        <v>99.9</v>
      </c>
      <c r="H271" s="89">
        <v>224.5032</v>
      </c>
      <c r="I271" s="89">
        <v>132.5374</v>
      </c>
      <c r="J271" s="63">
        <v>0.01</v>
      </c>
      <c r="K271" s="120">
        <v>2.01</v>
      </c>
    </row>
    <row r="272" spans="1:11" ht="12.75">
      <c r="A272" s="90" t="s">
        <v>2468</v>
      </c>
      <c r="B272" s="91" t="s">
        <v>2469</v>
      </c>
      <c r="C272" s="92" t="str">
        <f t="shared" si="3"/>
        <v>2 lat/a od dnia zakupu</v>
      </c>
      <c r="D272" s="92">
        <v>44531</v>
      </c>
      <c r="E272" s="92">
        <v>44561</v>
      </c>
      <c r="F272" s="93">
        <v>100</v>
      </c>
      <c r="G272" s="135">
        <v>99.9</v>
      </c>
      <c r="H272" s="94">
        <v>132.2734</v>
      </c>
      <c r="I272" s="94">
        <v>77.6607</v>
      </c>
      <c r="J272" s="65">
        <v>0.01</v>
      </c>
      <c r="K272" s="135">
        <v>2.01</v>
      </c>
    </row>
    <row r="273" spans="1:11" ht="12.75">
      <c r="A273" s="113" t="s">
        <v>2482</v>
      </c>
      <c r="B273" s="114" t="s">
        <v>2483</v>
      </c>
      <c r="C273" s="136" t="str">
        <f t="shared" si="3"/>
        <v>2 lat/a od dnia zakupu</v>
      </c>
      <c r="D273" s="136">
        <v>44562</v>
      </c>
      <c r="E273" s="136">
        <v>44592</v>
      </c>
      <c r="F273" s="137">
        <v>100</v>
      </c>
      <c r="G273" s="138">
        <v>99.9</v>
      </c>
      <c r="H273" s="139">
        <v>118.9466</v>
      </c>
      <c r="I273" s="139">
        <v>72.1112</v>
      </c>
      <c r="J273" s="66">
        <v>0.01</v>
      </c>
      <c r="K273" s="138">
        <v>2.01</v>
      </c>
    </row>
    <row r="274" spans="1:11" ht="12.75">
      <c r="A274" s="85" t="s">
        <v>2498</v>
      </c>
      <c r="B274" s="86" t="s">
        <v>2496</v>
      </c>
      <c r="C274" s="87" t="str">
        <f t="shared" si="3"/>
        <v>2 lat/a od dnia zakupu</v>
      </c>
      <c r="D274" s="87">
        <v>44593</v>
      </c>
      <c r="E274" s="87">
        <v>44620</v>
      </c>
      <c r="F274" s="88">
        <v>100</v>
      </c>
      <c r="G274" s="120">
        <v>99.9</v>
      </c>
      <c r="H274" s="89">
        <v>226.7369</v>
      </c>
      <c r="I274" s="89">
        <v>119.6407</v>
      </c>
      <c r="J274" s="63">
        <v>0.015</v>
      </c>
      <c r="K274" s="120">
        <v>3.02</v>
      </c>
    </row>
    <row r="275" spans="1:11" ht="12.75">
      <c r="A275" s="85" t="s">
        <v>2513</v>
      </c>
      <c r="B275" s="86" t="s">
        <v>2514</v>
      </c>
      <c r="C275" s="87" t="str">
        <f t="shared" si="3"/>
        <v>2 lat/a od dnia zakupu</v>
      </c>
      <c r="D275" s="87">
        <v>44621</v>
      </c>
      <c r="E275" s="87">
        <v>44651</v>
      </c>
      <c r="F275" s="88">
        <v>100</v>
      </c>
      <c r="G275" s="120">
        <v>99.9</v>
      </c>
      <c r="H275" s="89">
        <v>95.3052</v>
      </c>
      <c r="I275" s="89">
        <v>60.7885</v>
      </c>
      <c r="J275" s="63">
        <v>0.015</v>
      </c>
      <c r="K275" s="120">
        <v>3.02</v>
      </c>
    </row>
    <row r="276" spans="1:11" ht="12.75">
      <c r="A276" s="85" t="s">
        <v>2527</v>
      </c>
      <c r="B276" s="86" t="s">
        <v>2528</v>
      </c>
      <c r="C276" s="87" t="str">
        <f t="shared" si="3"/>
        <v>2 lat/a od dnia zakupu</v>
      </c>
      <c r="D276" s="87">
        <v>44652</v>
      </c>
      <c r="E276" s="87">
        <v>44681</v>
      </c>
      <c r="F276" s="88">
        <v>100</v>
      </c>
      <c r="G276" s="120">
        <v>99.9</v>
      </c>
      <c r="H276" s="89">
        <v>135.0747</v>
      </c>
      <c r="I276" s="89">
        <v>81.6361</v>
      </c>
      <c r="J276" s="63">
        <v>0.02</v>
      </c>
      <c r="K276" s="120">
        <v>4.04</v>
      </c>
    </row>
    <row r="277" spans="1:11" ht="12.75">
      <c r="A277" s="90" t="s">
        <v>2541</v>
      </c>
      <c r="B277" s="91" t="s">
        <v>2543</v>
      </c>
      <c r="C277" s="92" t="str">
        <f t="shared" si="3"/>
        <v>2 lat/a od dnia zakupu</v>
      </c>
      <c r="D277" s="92">
        <f>_XLL.NR.SER.DATY(D276,1)</f>
        <v>44682</v>
      </c>
      <c r="E277" s="92">
        <f>_XLL.NR.SER.OST.DN.MIES(D277,0)</f>
        <v>44712</v>
      </c>
      <c r="F277" s="93">
        <v>100</v>
      </c>
      <c r="G277" s="135">
        <v>99.9</v>
      </c>
      <c r="H277" s="94">
        <v>102.6316</v>
      </c>
      <c r="I277" s="94">
        <v>31.7015</v>
      </c>
      <c r="J277" s="65">
        <v>0.03</v>
      </c>
      <c r="K277" s="135">
        <v>6.09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21"/>
  <dimension ref="A1:V125"/>
  <sheetViews>
    <sheetView zoomScale="115" zoomScaleNormal="115" zoomScalePageLayoutView="0" workbookViewId="0" topLeftCell="A1">
      <pane xSplit="2" ySplit="2" topLeftCell="D11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26" sqref="A126"/>
    </sheetView>
  </sheetViews>
  <sheetFormatPr defaultColWidth="0" defaultRowHeight="12.75"/>
  <cols>
    <col min="1" max="1" width="10.875" style="13" customWidth="1"/>
    <col min="2" max="2" width="16.50390625" style="13" customWidth="1"/>
    <col min="3" max="3" width="30.875" style="13" customWidth="1"/>
    <col min="4" max="4" width="17.625" style="13" customWidth="1"/>
    <col min="5" max="5" width="11.875" style="13" bestFit="1" customWidth="1"/>
    <col min="6" max="6" width="12.50390625" style="13" bestFit="1" customWidth="1"/>
    <col min="7" max="7" width="18.00390625" style="13" bestFit="1" customWidth="1"/>
    <col min="8" max="8" width="11.50390625" style="18" bestFit="1" customWidth="1"/>
    <col min="9" max="9" width="15.875" style="18" customWidth="1"/>
    <col min="10" max="10" width="8.875" style="13" customWidth="1"/>
    <col min="11" max="21" width="8.875" style="34" customWidth="1"/>
    <col min="22" max="22" width="13.875" style="140" customWidth="1"/>
    <col min="23" max="255" width="15.50390625" style="0" hidden="1" customWidth="1"/>
    <col min="256" max="16384" width="9.00390625" style="0" hidden="1" customWidth="1"/>
  </cols>
  <sheetData>
    <row r="1" spans="1:22" ht="13.5" thickBot="1">
      <c r="A1" s="359" t="str">
        <f>Seria</f>
        <v>Seria</v>
      </c>
      <c r="B1" s="359" t="str">
        <f>ISIN</f>
        <v>Kod ISIN</v>
      </c>
      <c r="C1" s="351" t="str">
        <f>Wykup</f>
        <v>Data wykupu</v>
      </c>
      <c r="D1" s="351" t="str">
        <f>PoczatekSprzedazy</f>
        <v>Początek sprzedaży</v>
      </c>
      <c r="E1" s="351" t="str">
        <f>KoniecSprzedazy</f>
        <v>Koniec sprzedaży</v>
      </c>
      <c r="F1" s="351" t="str">
        <f>CenaEmisyjna</f>
        <v>Cena emisyjna</v>
      </c>
      <c r="G1" s="351" t="str">
        <f>switch_price</f>
        <v>Cena zamiany</v>
      </c>
      <c r="H1" s="353" t="str">
        <f>Sprzedaz&amp;" 
(mln zł)"</f>
        <v>Sprzedaż łączna 
(mln zł)</v>
      </c>
      <c r="I1" s="353" t="str">
        <f>switch&amp;" (mln zł)"</f>
        <v>w tym zamiana (mln zł)</v>
      </c>
      <c r="J1" s="358" t="str">
        <f>Oprocentowanie</f>
        <v>Oprocentowanie</v>
      </c>
      <c r="K1" s="358"/>
      <c r="L1" s="358"/>
      <c r="M1" s="358"/>
      <c r="N1" s="358"/>
      <c r="O1" s="358"/>
      <c r="P1" s="358" t="str">
        <f>Odsetki&amp;" (zł)"</f>
        <v>Odsetki (zł)</v>
      </c>
      <c r="Q1" s="358"/>
      <c r="R1" s="358"/>
      <c r="S1" s="358"/>
      <c r="T1" s="358"/>
      <c r="U1" s="358"/>
      <c r="V1" s="357" t="str">
        <f>Mnożnik</f>
        <v>Mnożnik</v>
      </c>
    </row>
    <row r="2" spans="1:22" ht="27" customHeight="1" thickBot="1">
      <c r="A2" s="360"/>
      <c r="B2" s="360"/>
      <c r="C2" s="352"/>
      <c r="D2" s="352"/>
      <c r="E2" s="352"/>
      <c r="F2" s="352"/>
      <c r="G2" s="352"/>
      <c r="H2" s="354"/>
      <c r="I2" s="354"/>
      <c r="J2" s="32" t="str">
        <f>pierwszy_okres</f>
        <v>w 1. okresie</v>
      </c>
      <c r="K2" s="32" t="str">
        <f>drugi_okres</f>
        <v>w 2. okresie</v>
      </c>
      <c r="L2" s="32" t="str">
        <f>trzeci_okres</f>
        <v>w 3. okresie</v>
      </c>
      <c r="M2" s="32" t="str">
        <f>czwarty_okres</f>
        <v>w 4. okresie</v>
      </c>
      <c r="N2" s="32" t="str">
        <f>piąty_okres</f>
        <v>w 5. okresie</v>
      </c>
      <c r="O2" s="32" t="str">
        <f>szósty_okres</f>
        <v>w 6. okresie</v>
      </c>
      <c r="P2" s="32" t="str">
        <f>pierwszy_okres</f>
        <v>w 1. okresie</v>
      </c>
      <c r="Q2" s="32" t="str">
        <f>drugi_okres</f>
        <v>w 2. okresie</v>
      </c>
      <c r="R2" s="32" t="str">
        <f>trzeci_okres</f>
        <v>w 3. okresie</v>
      </c>
      <c r="S2" s="32" t="str">
        <f>czwarty_okres</f>
        <v>w 4. okresie</v>
      </c>
      <c r="T2" s="32" t="str">
        <f>piąty_okres</f>
        <v>w 5. okresie</v>
      </c>
      <c r="U2" s="32" t="str">
        <f>szósty_okres</f>
        <v>w 6. okresie</v>
      </c>
      <c r="V2" s="358"/>
    </row>
    <row r="3" spans="1:22" ht="12.75">
      <c r="A3" s="85" t="s">
        <v>1111</v>
      </c>
      <c r="B3" s="86" t="s">
        <v>1110</v>
      </c>
      <c r="C3" s="141" t="str">
        <f aca="true" t="shared" si="0" ref="C3:C125">"3"&amp;WykupCOI</f>
        <v>3 lat/a od dnia zakupu</v>
      </c>
      <c r="D3" s="109">
        <v>41030</v>
      </c>
      <c r="E3" s="109">
        <v>41060</v>
      </c>
      <c r="F3" s="110">
        <v>100</v>
      </c>
      <c r="G3" s="119"/>
      <c r="H3" s="263">
        <v>12.7404</v>
      </c>
      <c r="I3" s="263"/>
      <c r="J3" s="43">
        <v>0.0497</v>
      </c>
      <c r="K3" s="43">
        <v>0.0477</v>
      </c>
      <c r="L3" s="43">
        <v>0.0326</v>
      </c>
      <c r="M3" s="43">
        <v>0.027</v>
      </c>
      <c r="N3" s="43">
        <v>0.0274</v>
      </c>
      <c r="O3" s="43">
        <v>0.0198</v>
      </c>
      <c r="P3" s="45">
        <v>2.49</v>
      </c>
      <c r="Q3" s="45">
        <v>2.39</v>
      </c>
      <c r="R3" s="45">
        <v>1.63</v>
      </c>
      <c r="S3" s="45">
        <v>1.35</v>
      </c>
      <c r="T3" s="45">
        <v>1.37</v>
      </c>
      <c r="U3" s="45">
        <v>0.99</v>
      </c>
      <c r="V3" s="144">
        <v>1</v>
      </c>
    </row>
    <row r="4" spans="1:22" ht="12.75">
      <c r="A4" s="85" t="s">
        <v>1115</v>
      </c>
      <c r="B4" s="86" t="s">
        <v>1116</v>
      </c>
      <c r="C4" s="141" t="str">
        <f t="shared" si="0"/>
        <v>3 lat/a od dnia zakupu</v>
      </c>
      <c r="D4" s="109">
        <v>41061</v>
      </c>
      <c r="E4" s="109">
        <v>41090</v>
      </c>
      <c r="F4" s="110">
        <v>100</v>
      </c>
      <c r="G4" s="119">
        <v>99.9</v>
      </c>
      <c r="H4" s="263">
        <v>6.012</v>
      </c>
      <c r="I4" s="263">
        <v>0.5227</v>
      </c>
      <c r="J4" s="44">
        <v>0.0511</v>
      </c>
      <c r="K4" s="44">
        <v>0.046</v>
      </c>
      <c r="L4" s="44">
        <v>0.0273</v>
      </c>
      <c r="M4" s="44">
        <v>0.027</v>
      </c>
      <c r="N4" s="44">
        <v>0.0274</v>
      </c>
      <c r="O4" s="44">
        <v>0.0205</v>
      </c>
      <c r="P4" s="46">
        <v>2.56</v>
      </c>
      <c r="Q4" s="46">
        <v>2.3</v>
      </c>
      <c r="R4" s="46">
        <v>1.37</v>
      </c>
      <c r="S4" s="46">
        <v>1.35</v>
      </c>
      <c r="T4" s="46">
        <v>1.37</v>
      </c>
      <c r="U4" s="46">
        <v>1.03</v>
      </c>
      <c r="V4" s="144">
        <v>1</v>
      </c>
    </row>
    <row r="5" spans="1:22" ht="12.75">
      <c r="A5" s="85" t="s">
        <v>1123</v>
      </c>
      <c r="B5" s="86" t="s">
        <v>1132</v>
      </c>
      <c r="C5" s="141" t="str">
        <f t="shared" si="0"/>
        <v>3 lat/a od dnia zakupu</v>
      </c>
      <c r="D5" s="109">
        <v>41091</v>
      </c>
      <c r="E5" s="109">
        <v>41121</v>
      </c>
      <c r="F5" s="110">
        <v>100</v>
      </c>
      <c r="G5" s="119">
        <v>99.9</v>
      </c>
      <c r="H5" s="263">
        <v>6.8263</v>
      </c>
      <c r="I5" s="263">
        <v>1.4459</v>
      </c>
      <c r="J5" s="44">
        <v>0.0514</v>
      </c>
      <c r="K5" s="44">
        <v>0.0416</v>
      </c>
      <c r="L5" s="44">
        <v>0.0269</v>
      </c>
      <c r="M5" s="44">
        <v>0.0271</v>
      </c>
      <c r="N5" s="44">
        <v>0.027</v>
      </c>
      <c r="O5" s="44">
        <v>0.0205</v>
      </c>
      <c r="P5" s="46">
        <v>2.57</v>
      </c>
      <c r="Q5" s="46">
        <v>2.08</v>
      </c>
      <c r="R5" s="46">
        <v>1.35</v>
      </c>
      <c r="S5" s="46">
        <v>1.36</v>
      </c>
      <c r="T5" s="46">
        <v>1.35</v>
      </c>
      <c r="U5" s="46">
        <v>1.03</v>
      </c>
      <c r="V5" s="144">
        <v>1</v>
      </c>
    </row>
    <row r="6" spans="1:22" ht="12.75">
      <c r="A6" s="85" t="s">
        <v>1130</v>
      </c>
      <c r="B6" s="86" t="s">
        <v>1131</v>
      </c>
      <c r="C6" s="141" t="str">
        <f t="shared" si="0"/>
        <v>3 lat/a od dnia zakupu</v>
      </c>
      <c r="D6" s="109">
        <v>41122</v>
      </c>
      <c r="E6" s="109">
        <v>41152</v>
      </c>
      <c r="F6" s="110">
        <v>100</v>
      </c>
      <c r="G6" s="119">
        <v>99.9</v>
      </c>
      <c r="H6" s="263">
        <v>16.9242</v>
      </c>
      <c r="I6" s="263">
        <v>2.3177</v>
      </c>
      <c r="J6" s="44">
        <v>0.0515</v>
      </c>
      <c r="K6" s="44">
        <v>0.0398</v>
      </c>
      <c r="L6" s="44">
        <v>0.0271</v>
      </c>
      <c r="M6" s="44">
        <v>0.0272</v>
      </c>
      <c r="N6" s="44">
        <v>0.0269</v>
      </c>
      <c r="O6" s="44">
        <v>0.0201</v>
      </c>
      <c r="P6" s="46">
        <v>2.58</v>
      </c>
      <c r="Q6" s="46">
        <v>1.99</v>
      </c>
      <c r="R6" s="46">
        <v>1.36</v>
      </c>
      <c r="S6" s="46">
        <v>1.36</v>
      </c>
      <c r="T6" s="46">
        <v>1.35</v>
      </c>
      <c r="U6" s="46">
        <v>1.01</v>
      </c>
      <c r="V6" s="144">
        <v>1</v>
      </c>
    </row>
    <row r="7" spans="1:22" ht="12.75">
      <c r="A7" s="85" t="s">
        <v>1139</v>
      </c>
      <c r="B7" s="86" t="s">
        <v>1140</v>
      </c>
      <c r="C7" s="141" t="str">
        <f t="shared" si="0"/>
        <v>3 lat/a od dnia zakupu</v>
      </c>
      <c r="D7" s="109">
        <v>41153</v>
      </c>
      <c r="E7" s="109">
        <v>41182</v>
      </c>
      <c r="F7" s="110">
        <v>100</v>
      </c>
      <c r="G7" s="119">
        <v>99.9</v>
      </c>
      <c r="H7" s="263">
        <v>8.9287</v>
      </c>
      <c r="I7" s="263">
        <v>2.2648</v>
      </c>
      <c r="J7" s="44">
        <v>0.0513</v>
      </c>
      <c r="K7" s="44">
        <v>0.0373</v>
      </c>
      <c r="L7" s="44">
        <v>0.0272</v>
      </c>
      <c r="M7" s="44">
        <v>0.0274</v>
      </c>
      <c r="N7" s="44">
        <v>0.0266</v>
      </c>
      <c r="O7" s="44">
        <v>0.0189</v>
      </c>
      <c r="P7" s="46">
        <v>2.57</v>
      </c>
      <c r="Q7" s="46">
        <v>1.87</v>
      </c>
      <c r="R7" s="46">
        <v>1.36</v>
      </c>
      <c r="S7" s="46">
        <v>1.37</v>
      </c>
      <c r="T7" s="46">
        <v>1.33</v>
      </c>
      <c r="U7" s="46">
        <v>0.95</v>
      </c>
      <c r="V7" s="144">
        <v>1</v>
      </c>
    </row>
    <row r="8" spans="1:22" ht="12.75">
      <c r="A8" s="85" t="s">
        <v>1147</v>
      </c>
      <c r="B8" s="86" t="s">
        <v>1148</v>
      </c>
      <c r="C8" s="141" t="str">
        <f t="shared" si="0"/>
        <v>3 lat/a od dnia zakupu</v>
      </c>
      <c r="D8" s="109">
        <v>41183</v>
      </c>
      <c r="E8" s="109">
        <v>41213</v>
      </c>
      <c r="F8" s="110">
        <v>100</v>
      </c>
      <c r="G8" s="119">
        <v>99.9</v>
      </c>
      <c r="H8" s="263">
        <v>7.9265</v>
      </c>
      <c r="I8" s="263">
        <v>2.8065</v>
      </c>
      <c r="J8" s="44">
        <v>0.05</v>
      </c>
      <c r="K8" s="44">
        <v>0.034</v>
      </c>
      <c r="L8" s="44">
        <v>0.0272</v>
      </c>
      <c r="M8" s="44">
        <v>0.0274</v>
      </c>
      <c r="N8" s="44">
        <v>0.0241</v>
      </c>
      <c r="O8" s="44">
        <v>0.0166</v>
      </c>
      <c r="P8" s="46">
        <v>2.5</v>
      </c>
      <c r="Q8" s="46">
        <v>1.7</v>
      </c>
      <c r="R8" s="46">
        <v>1.36</v>
      </c>
      <c r="S8" s="46">
        <v>1.37</v>
      </c>
      <c r="T8" s="46">
        <v>1.21</v>
      </c>
      <c r="U8" s="46">
        <v>0.83</v>
      </c>
      <c r="V8" s="144">
        <v>1</v>
      </c>
    </row>
    <row r="9" spans="1:22" ht="12.75">
      <c r="A9" s="85" t="s">
        <v>1155</v>
      </c>
      <c r="B9" s="86" t="s">
        <v>1156</v>
      </c>
      <c r="C9" s="141" t="str">
        <f t="shared" si="0"/>
        <v>3 lat/a od dnia zakupu</v>
      </c>
      <c r="D9" s="109">
        <v>41214</v>
      </c>
      <c r="E9" s="109">
        <v>41243</v>
      </c>
      <c r="F9" s="110">
        <v>100</v>
      </c>
      <c r="G9" s="119">
        <v>99.9</v>
      </c>
      <c r="H9" s="263">
        <v>16.9836</v>
      </c>
      <c r="I9" s="263">
        <v>1.6454</v>
      </c>
      <c r="J9" s="44">
        <v>0.0476</v>
      </c>
      <c r="K9" s="44">
        <v>0.0326</v>
      </c>
      <c r="L9" s="44">
        <v>0.027</v>
      </c>
      <c r="M9" s="44">
        <v>0.0274</v>
      </c>
      <c r="N9" s="44">
        <v>0.0198</v>
      </c>
      <c r="O9" s="44">
        <v>0.0166</v>
      </c>
      <c r="P9" s="46">
        <v>2.38</v>
      </c>
      <c r="Q9" s="46">
        <v>1.63</v>
      </c>
      <c r="R9" s="46">
        <v>1.35</v>
      </c>
      <c r="S9" s="46">
        <v>1.37</v>
      </c>
      <c r="T9" s="46">
        <v>0.99</v>
      </c>
      <c r="U9" s="46">
        <v>0.83</v>
      </c>
      <c r="V9" s="144">
        <v>1</v>
      </c>
    </row>
    <row r="10" spans="1:22" s="7" customFormat="1" ht="12.75">
      <c r="A10" s="90" t="s">
        <v>1162</v>
      </c>
      <c r="B10" s="91" t="s">
        <v>1163</v>
      </c>
      <c r="C10" s="146" t="str">
        <f t="shared" si="0"/>
        <v>3 lat/a od dnia zakupu</v>
      </c>
      <c r="D10" s="111">
        <v>41244</v>
      </c>
      <c r="E10" s="111">
        <v>41274</v>
      </c>
      <c r="F10" s="112">
        <v>100</v>
      </c>
      <c r="G10" s="121">
        <v>99.9</v>
      </c>
      <c r="H10" s="264">
        <v>4.5808</v>
      </c>
      <c r="I10" s="264">
        <v>2.0224</v>
      </c>
      <c r="J10" s="47">
        <v>0.046</v>
      </c>
      <c r="K10" s="47">
        <v>0.0273</v>
      </c>
      <c r="L10" s="47">
        <v>0.027</v>
      </c>
      <c r="M10" s="47">
        <v>0.0274</v>
      </c>
      <c r="N10" s="47">
        <v>0.0205</v>
      </c>
      <c r="O10" s="47">
        <v>0.0174</v>
      </c>
      <c r="P10" s="42">
        <v>2.3</v>
      </c>
      <c r="Q10" s="42">
        <v>1.37</v>
      </c>
      <c r="R10" s="42">
        <v>1.35</v>
      </c>
      <c r="S10" s="42">
        <v>1.37</v>
      </c>
      <c r="T10" s="42">
        <v>1.03</v>
      </c>
      <c r="U10" s="42">
        <v>0.87</v>
      </c>
      <c r="V10" s="149">
        <v>1</v>
      </c>
    </row>
    <row r="11" spans="1:22" s="7" customFormat="1" ht="12.75">
      <c r="A11" s="113" t="s">
        <v>1181</v>
      </c>
      <c r="B11" s="114" t="s">
        <v>1193</v>
      </c>
      <c r="C11" s="151" t="str">
        <f t="shared" si="0"/>
        <v>3 lat/a od dnia zakupu</v>
      </c>
      <c r="D11" s="115">
        <v>41275</v>
      </c>
      <c r="E11" s="115">
        <v>41305</v>
      </c>
      <c r="F11" s="116">
        <v>100</v>
      </c>
      <c r="G11" s="117">
        <v>99.9</v>
      </c>
      <c r="H11" s="265">
        <v>2.7435</v>
      </c>
      <c r="I11" s="265">
        <v>0.7186</v>
      </c>
      <c r="J11" s="48">
        <v>0.0415</v>
      </c>
      <c r="K11" s="48">
        <v>0.0269</v>
      </c>
      <c r="L11" s="48">
        <v>0.0271</v>
      </c>
      <c r="M11" s="48">
        <v>0.027</v>
      </c>
      <c r="N11" s="48">
        <v>0.0205</v>
      </c>
      <c r="O11" s="48">
        <v>0.0179</v>
      </c>
      <c r="P11" s="49">
        <v>2.08</v>
      </c>
      <c r="Q11" s="49">
        <v>1.35</v>
      </c>
      <c r="R11" s="49">
        <v>1.36</v>
      </c>
      <c r="S11" s="49">
        <v>1.35</v>
      </c>
      <c r="T11" s="49">
        <v>1.03</v>
      </c>
      <c r="U11" s="49">
        <v>0.9</v>
      </c>
      <c r="V11" s="154">
        <v>1</v>
      </c>
    </row>
    <row r="12" spans="1:22" ht="12.75">
      <c r="A12" s="85" t="s">
        <v>1182</v>
      </c>
      <c r="B12" s="86" t="s">
        <v>1222</v>
      </c>
      <c r="C12" s="141" t="str">
        <f t="shared" si="0"/>
        <v>3 lat/a od dnia zakupu</v>
      </c>
      <c r="D12" s="109">
        <v>41306</v>
      </c>
      <c r="E12" s="109">
        <v>41333</v>
      </c>
      <c r="F12" s="110">
        <v>100</v>
      </c>
      <c r="G12" s="119">
        <v>99.9</v>
      </c>
      <c r="H12" s="263">
        <v>12.068</v>
      </c>
      <c r="I12" s="263">
        <v>0.9451</v>
      </c>
      <c r="J12" s="44">
        <v>0.04</v>
      </c>
      <c r="K12" s="44">
        <v>0.0271</v>
      </c>
      <c r="L12" s="44">
        <v>0.0272</v>
      </c>
      <c r="M12" s="44">
        <v>0.0269</v>
      </c>
      <c r="N12" s="44">
        <v>0.0201</v>
      </c>
      <c r="O12" s="44">
        <v>0.0179</v>
      </c>
      <c r="P12" s="46">
        <v>2</v>
      </c>
      <c r="Q12" s="46">
        <v>1.36</v>
      </c>
      <c r="R12" s="46">
        <v>1.36</v>
      </c>
      <c r="S12" s="46">
        <v>1.35</v>
      </c>
      <c r="T12" s="46">
        <v>1.01</v>
      </c>
      <c r="U12" s="46">
        <v>0.9</v>
      </c>
      <c r="V12" s="144">
        <v>1</v>
      </c>
    </row>
    <row r="13" spans="1:22" ht="12.75">
      <c r="A13" s="85" t="s">
        <v>1183</v>
      </c>
      <c r="B13" s="86" t="s">
        <v>1225</v>
      </c>
      <c r="C13" s="141" t="str">
        <f t="shared" si="0"/>
        <v>3 lat/a od dnia zakupu</v>
      </c>
      <c r="D13" s="109">
        <v>41334</v>
      </c>
      <c r="E13" s="109">
        <v>41364</v>
      </c>
      <c r="F13" s="110">
        <v>100</v>
      </c>
      <c r="G13" s="119">
        <v>99.9</v>
      </c>
      <c r="H13" s="263">
        <v>6.3611</v>
      </c>
      <c r="I13" s="263">
        <v>2.9016</v>
      </c>
      <c r="J13" s="44">
        <v>0.04</v>
      </c>
      <c r="K13" s="44">
        <v>0.0272</v>
      </c>
      <c r="L13" s="44">
        <v>0.0274</v>
      </c>
      <c r="M13" s="44">
        <v>0.0266</v>
      </c>
      <c r="N13" s="44">
        <v>0.0189</v>
      </c>
      <c r="O13" s="44">
        <v>0.018</v>
      </c>
      <c r="P13" s="46">
        <v>2</v>
      </c>
      <c r="Q13" s="46">
        <v>1.36</v>
      </c>
      <c r="R13" s="46">
        <v>1.37</v>
      </c>
      <c r="S13" s="46">
        <v>1.33</v>
      </c>
      <c r="T13" s="46">
        <v>0.95</v>
      </c>
      <c r="U13" s="46">
        <v>0.9</v>
      </c>
      <c r="V13" s="144">
        <v>1</v>
      </c>
    </row>
    <row r="14" spans="1:22" ht="12.75">
      <c r="A14" s="85" t="s">
        <v>1184</v>
      </c>
      <c r="B14" s="86" t="s">
        <v>1229</v>
      </c>
      <c r="C14" s="141" t="str">
        <f t="shared" si="0"/>
        <v>3 lat/a od dnia zakupu</v>
      </c>
      <c r="D14" s="109">
        <v>41365</v>
      </c>
      <c r="E14" s="109">
        <v>41394</v>
      </c>
      <c r="F14" s="110">
        <v>100</v>
      </c>
      <c r="G14" s="119">
        <v>99.9</v>
      </c>
      <c r="H14" s="263">
        <v>4.5772</v>
      </c>
      <c r="I14" s="263">
        <v>0.9931</v>
      </c>
      <c r="J14" s="44">
        <v>0.04</v>
      </c>
      <c r="K14" s="44">
        <v>0.0272</v>
      </c>
      <c r="L14" s="44">
        <v>0.0274</v>
      </c>
      <c r="M14" s="44">
        <v>0.0241</v>
      </c>
      <c r="N14" s="44">
        <v>0.0166</v>
      </c>
      <c r="O14" s="44">
        <v>0.018</v>
      </c>
      <c r="P14" s="46">
        <v>2</v>
      </c>
      <c r="Q14" s="46">
        <v>1.36</v>
      </c>
      <c r="R14" s="46">
        <v>1.37</v>
      </c>
      <c r="S14" s="46">
        <v>1.21</v>
      </c>
      <c r="T14" s="46">
        <v>0.83</v>
      </c>
      <c r="U14" s="46">
        <v>0.9</v>
      </c>
      <c r="V14" s="144">
        <v>1</v>
      </c>
    </row>
    <row r="15" spans="1:22" ht="12.75">
      <c r="A15" s="85" t="s">
        <v>1185</v>
      </c>
      <c r="B15" s="86" t="s">
        <v>1233</v>
      </c>
      <c r="C15" s="141" t="str">
        <f t="shared" si="0"/>
        <v>3 lat/a od dnia zakupu</v>
      </c>
      <c r="D15" s="109">
        <v>41395</v>
      </c>
      <c r="E15" s="109">
        <v>41425</v>
      </c>
      <c r="F15" s="110">
        <v>100</v>
      </c>
      <c r="G15" s="119">
        <v>99.9</v>
      </c>
      <c r="H15" s="263">
        <v>13.9284</v>
      </c>
      <c r="I15" s="263">
        <v>1.7637</v>
      </c>
      <c r="J15" s="44">
        <v>0.033</v>
      </c>
      <c r="K15" s="44">
        <v>0.027</v>
      </c>
      <c r="L15" s="44">
        <v>0.0274</v>
      </c>
      <c r="M15" s="44">
        <v>0.0198</v>
      </c>
      <c r="N15" s="44">
        <v>0.0166</v>
      </c>
      <c r="O15" s="44">
        <v>0.0181</v>
      </c>
      <c r="P15" s="46">
        <v>1.65</v>
      </c>
      <c r="Q15" s="46">
        <v>1.35</v>
      </c>
      <c r="R15" s="46">
        <v>1.37</v>
      </c>
      <c r="S15" s="46">
        <v>0.99</v>
      </c>
      <c r="T15" s="46">
        <v>0.83</v>
      </c>
      <c r="U15" s="46">
        <v>0.91</v>
      </c>
      <c r="V15" s="144">
        <v>1</v>
      </c>
    </row>
    <row r="16" spans="1:22" ht="12.75">
      <c r="A16" s="85" t="s">
        <v>1186</v>
      </c>
      <c r="B16" s="86" t="s">
        <v>1237</v>
      </c>
      <c r="C16" s="141" t="str">
        <f t="shared" si="0"/>
        <v>3 lat/a od dnia zakupu</v>
      </c>
      <c r="D16" s="109">
        <v>41426</v>
      </c>
      <c r="E16" s="109">
        <v>41455</v>
      </c>
      <c r="F16" s="110">
        <v>100</v>
      </c>
      <c r="G16" s="119">
        <v>99.9</v>
      </c>
      <c r="H16" s="263">
        <v>4.4034</v>
      </c>
      <c r="I16" s="263">
        <v>1.8322</v>
      </c>
      <c r="J16" s="44">
        <v>0.033</v>
      </c>
      <c r="K16" s="44">
        <v>0.027</v>
      </c>
      <c r="L16" s="44">
        <v>0.0274</v>
      </c>
      <c r="M16" s="44">
        <v>0.0205</v>
      </c>
      <c r="N16" s="44">
        <v>0.0174</v>
      </c>
      <c r="O16" s="44">
        <v>0.018</v>
      </c>
      <c r="P16" s="46">
        <v>1.65</v>
      </c>
      <c r="Q16" s="46">
        <v>1.35</v>
      </c>
      <c r="R16" s="46">
        <v>1.37</v>
      </c>
      <c r="S16" s="46">
        <v>1.03</v>
      </c>
      <c r="T16" s="46">
        <v>0.87</v>
      </c>
      <c r="U16" s="46">
        <v>0.9</v>
      </c>
      <c r="V16" s="144">
        <v>1</v>
      </c>
    </row>
    <row r="17" spans="1:22" ht="12.75">
      <c r="A17" s="85" t="s">
        <v>1187</v>
      </c>
      <c r="B17" s="86" t="s">
        <v>1244</v>
      </c>
      <c r="C17" s="141" t="str">
        <f t="shared" si="0"/>
        <v>3 lat/a od dnia zakupu</v>
      </c>
      <c r="D17" s="109">
        <v>41456</v>
      </c>
      <c r="E17" s="109">
        <v>41486</v>
      </c>
      <c r="F17" s="110">
        <v>100</v>
      </c>
      <c r="G17" s="119">
        <v>99.9</v>
      </c>
      <c r="H17" s="263">
        <v>6.4041</v>
      </c>
      <c r="I17" s="263">
        <v>1.1523</v>
      </c>
      <c r="J17" s="44">
        <v>0.033</v>
      </c>
      <c r="K17" s="44">
        <v>0.0271</v>
      </c>
      <c r="L17" s="44">
        <v>0.027</v>
      </c>
      <c r="M17" s="44">
        <v>0.0205</v>
      </c>
      <c r="N17" s="44">
        <v>0.0179</v>
      </c>
      <c r="O17" s="44">
        <v>0.0177</v>
      </c>
      <c r="P17" s="46">
        <v>1.65</v>
      </c>
      <c r="Q17" s="46">
        <v>1.36</v>
      </c>
      <c r="R17" s="46">
        <v>1.35</v>
      </c>
      <c r="S17" s="46">
        <v>1.03</v>
      </c>
      <c r="T17" s="46">
        <v>0.9</v>
      </c>
      <c r="U17" s="46">
        <v>0.89</v>
      </c>
      <c r="V17" s="144">
        <v>1</v>
      </c>
    </row>
    <row r="18" spans="1:22" ht="12.75">
      <c r="A18" s="85" t="s">
        <v>1188</v>
      </c>
      <c r="B18" s="86" t="s">
        <v>1252</v>
      </c>
      <c r="C18" s="141" t="str">
        <f t="shared" si="0"/>
        <v>3 lat/a od dnia zakupu</v>
      </c>
      <c r="D18" s="109">
        <v>41487</v>
      </c>
      <c r="E18" s="109">
        <v>41517</v>
      </c>
      <c r="F18" s="110">
        <v>100</v>
      </c>
      <c r="G18" s="119">
        <v>99.9</v>
      </c>
      <c r="H18" s="263">
        <v>22.61</v>
      </c>
      <c r="I18" s="263">
        <v>1.5046</v>
      </c>
      <c r="J18" s="44">
        <v>0.033</v>
      </c>
      <c r="K18" s="44">
        <v>0.0272</v>
      </c>
      <c r="L18" s="44">
        <v>0.0269</v>
      </c>
      <c r="M18" s="44">
        <v>0.0201</v>
      </c>
      <c r="N18" s="44">
        <v>0.0179</v>
      </c>
      <c r="O18" s="44">
        <v>0.0175</v>
      </c>
      <c r="P18" s="46">
        <v>1.65</v>
      </c>
      <c r="Q18" s="46">
        <v>1.36</v>
      </c>
      <c r="R18" s="46">
        <v>1.35</v>
      </c>
      <c r="S18" s="46">
        <v>1.01</v>
      </c>
      <c r="T18" s="46">
        <v>0.9</v>
      </c>
      <c r="U18" s="46">
        <v>0.88</v>
      </c>
      <c r="V18" s="144">
        <v>1</v>
      </c>
    </row>
    <row r="19" spans="1:22" ht="12.75">
      <c r="A19" s="85" t="s">
        <v>1189</v>
      </c>
      <c r="B19" s="86" t="s">
        <v>1255</v>
      </c>
      <c r="C19" s="141" t="str">
        <f t="shared" si="0"/>
        <v>3 lat/a od dnia zakupu</v>
      </c>
      <c r="D19" s="109">
        <v>41518</v>
      </c>
      <c r="E19" s="109">
        <v>41547</v>
      </c>
      <c r="F19" s="110">
        <v>100</v>
      </c>
      <c r="G19" s="119">
        <v>99.9</v>
      </c>
      <c r="H19" s="263">
        <v>10.275</v>
      </c>
      <c r="I19" s="263">
        <v>1.4549</v>
      </c>
      <c r="J19" s="44">
        <v>0.033</v>
      </c>
      <c r="K19" s="44">
        <v>0.0274</v>
      </c>
      <c r="L19" s="44">
        <v>0.0266</v>
      </c>
      <c r="M19" s="44">
        <v>0.0189</v>
      </c>
      <c r="N19" s="44">
        <v>0.018</v>
      </c>
      <c r="O19" s="44">
        <v>0.0174</v>
      </c>
      <c r="P19" s="46">
        <v>1.65</v>
      </c>
      <c r="Q19" s="46">
        <v>1.37</v>
      </c>
      <c r="R19" s="46">
        <v>1.33</v>
      </c>
      <c r="S19" s="46">
        <v>0.95</v>
      </c>
      <c r="T19" s="46">
        <v>0.9</v>
      </c>
      <c r="U19" s="46">
        <v>0.87</v>
      </c>
      <c r="V19" s="144">
        <v>1</v>
      </c>
    </row>
    <row r="20" spans="1:22" ht="12.75">
      <c r="A20" s="85" t="s">
        <v>1190</v>
      </c>
      <c r="B20" s="86" t="s">
        <v>1259</v>
      </c>
      <c r="C20" s="141" t="str">
        <f t="shared" si="0"/>
        <v>3 lat/a od dnia zakupu</v>
      </c>
      <c r="D20" s="109">
        <v>41548</v>
      </c>
      <c r="E20" s="109">
        <v>41578</v>
      </c>
      <c r="F20" s="110">
        <v>100</v>
      </c>
      <c r="G20" s="119">
        <v>99.9</v>
      </c>
      <c r="H20" s="263">
        <v>24.8795</v>
      </c>
      <c r="I20" s="263">
        <v>1.7504</v>
      </c>
      <c r="J20" s="44">
        <v>0.033</v>
      </c>
      <c r="K20" s="44">
        <v>0.0274</v>
      </c>
      <c r="L20" s="44">
        <v>0.0241</v>
      </c>
      <c r="M20" s="44">
        <v>0.0166</v>
      </c>
      <c r="N20" s="44">
        <v>0.018</v>
      </c>
      <c r="O20" s="44">
        <v>0.0174</v>
      </c>
      <c r="P20" s="46">
        <v>1.65</v>
      </c>
      <c r="Q20" s="46">
        <v>1.37</v>
      </c>
      <c r="R20" s="46">
        <v>1.21</v>
      </c>
      <c r="S20" s="46">
        <v>0.83</v>
      </c>
      <c r="T20" s="46">
        <v>0.9</v>
      </c>
      <c r="U20" s="46">
        <v>0.87</v>
      </c>
      <c r="V20" s="144">
        <v>1</v>
      </c>
    </row>
    <row r="21" spans="1:22" ht="12.75">
      <c r="A21" s="85" t="s">
        <v>1191</v>
      </c>
      <c r="B21" s="86" t="s">
        <v>1264</v>
      </c>
      <c r="C21" s="141" t="str">
        <f t="shared" si="0"/>
        <v>3 lat/a od dnia zakupu</v>
      </c>
      <c r="D21" s="109">
        <v>41579</v>
      </c>
      <c r="E21" s="109">
        <v>41608</v>
      </c>
      <c r="F21" s="110">
        <v>100</v>
      </c>
      <c r="G21" s="119">
        <v>99.9</v>
      </c>
      <c r="H21" s="263">
        <v>58.5202</v>
      </c>
      <c r="I21" s="263">
        <v>1.7937</v>
      </c>
      <c r="J21" s="44">
        <v>0.033</v>
      </c>
      <c r="K21" s="44">
        <v>0.0274</v>
      </c>
      <c r="L21" s="44">
        <v>0.0198</v>
      </c>
      <c r="M21" s="44">
        <v>0.0166</v>
      </c>
      <c r="N21" s="44">
        <v>0.0181</v>
      </c>
      <c r="O21" s="44">
        <v>0.0174</v>
      </c>
      <c r="P21" s="46">
        <v>1.65</v>
      </c>
      <c r="Q21" s="46">
        <v>1.37</v>
      </c>
      <c r="R21" s="46">
        <v>0.99</v>
      </c>
      <c r="S21" s="46">
        <v>0.83</v>
      </c>
      <c r="T21" s="46">
        <v>0.91</v>
      </c>
      <c r="U21" s="46">
        <v>0.87</v>
      </c>
      <c r="V21" s="144">
        <v>1</v>
      </c>
    </row>
    <row r="22" spans="1:22" ht="12.75">
      <c r="A22" s="90" t="s">
        <v>1192</v>
      </c>
      <c r="B22" s="91" t="s">
        <v>1265</v>
      </c>
      <c r="C22" s="146" t="str">
        <f t="shared" si="0"/>
        <v>3 lat/a od dnia zakupu</v>
      </c>
      <c r="D22" s="111">
        <v>41609</v>
      </c>
      <c r="E22" s="111">
        <v>41639</v>
      </c>
      <c r="F22" s="112">
        <v>100</v>
      </c>
      <c r="G22" s="121">
        <v>99.9</v>
      </c>
      <c r="H22" s="264">
        <v>13.6197</v>
      </c>
      <c r="I22" s="264">
        <v>3.1236</v>
      </c>
      <c r="J22" s="47">
        <v>0.033</v>
      </c>
      <c r="K22" s="47">
        <v>0.0274</v>
      </c>
      <c r="L22" s="47">
        <v>0.0205</v>
      </c>
      <c r="M22" s="47">
        <v>0.0174</v>
      </c>
      <c r="N22" s="47">
        <v>0.018</v>
      </c>
      <c r="O22" s="47">
        <v>0.0174</v>
      </c>
      <c r="P22" s="42">
        <v>1.65</v>
      </c>
      <c r="Q22" s="42">
        <v>1.37</v>
      </c>
      <c r="R22" s="42">
        <v>1.03</v>
      </c>
      <c r="S22" s="42">
        <v>0.87</v>
      </c>
      <c r="T22" s="42">
        <v>0.9</v>
      </c>
      <c r="U22" s="42">
        <v>0.87</v>
      </c>
      <c r="V22" s="149">
        <v>1</v>
      </c>
    </row>
    <row r="23" spans="1:22" ht="12.75">
      <c r="A23" s="113" t="s">
        <v>1282</v>
      </c>
      <c r="B23" s="114" t="s">
        <v>1284</v>
      </c>
      <c r="C23" s="151" t="str">
        <f t="shared" si="0"/>
        <v>3 lat/a od dnia zakupu</v>
      </c>
      <c r="D23" s="115">
        <v>41640</v>
      </c>
      <c r="E23" s="115">
        <v>41670</v>
      </c>
      <c r="F23" s="116">
        <v>100</v>
      </c>
      <c r="G23" s="117">
        <v>99.9</v>
      </c>
      <c r="H23" s="265">
        <v>16.4156</v>
      </c>
      <c r="I23" s="265">
        <v>2.3459</v>
      </c>
      <c r="J23" s="48">
        <v>0.033</v>
      </c>
      <c r="K23" s="48">
        <v>0.027</v>
      </c>
      <c r="L23" s="48">
        <v>0.0205</v>
      </c>
      <c r="M23" s="48">
        <v>0.0179</v>
      </c>
      <c r="N23" s="48">
        <v>0.0177</v>
      </c>
      <c r="O23" s="48">
        <v>0.0177</v>
      </c>
      <c r="P23" s="49">
        <v>1.65</v>
      </c>
      <c r="Q23" s="49">
        <v>1.35</v>
      </c>
      <c r="R23" s="49">
        <v>1.03</v>
      </c>
      <c r="S23" s="49">
        <v>0.9</v>
      </c>
      <c r="T23" s="49">
        <v>0.89</v>
      </c>
      <c r="U23" s="49">
        <v>0.89</v>
      </c>
      <c r="V23" s="154">
        <v>1</v>
      </c>
    </row>
    <row r="24" spans="1:22" ht="12.75">
      <c r="A24" s="85" t="s">
        <v>1283</v>
      </c>
      <c r="B24" s="86" t="s">
        <v>1285</v>
      </c>
      <c r="C24" s="141" t="str">
        <f t="shared" si="0"/>
        <v>3 lat/a od dnia zakupu</v>
      </c>
      <c r="D24" s="109">
        <v>41671</v>
      </c>
      <c r="E24" s="109">
        <v>41698</v>
      </c>
      <c r="F24" s="110">
        <v>100</v>
      </c>
      <c r="G24" s="119">
        <v>99.9</v>
      </c>
      <c r="H24" s="263">
        <v>35.2284</v>
      </c>
      <c r="I24" s="263">
        <v>3.0574</v>
      </c>
      <c r="J24" s="44">
        <v>0.033</v>
      </c>
      <c r="K24" s="44">
        <v>0.0269</v>
      </c>
      <c r="L24" s="44">
        <v>0.0201</v>
      </c>
      <c r="M24" s="44">
        <v>0.0179</v>
      </c>
      <c r="N24" s="44">
        <v>0.0175</v>
      </c>
      <c r="O24" s="44">
        <v>0.0179</v>
      </c>
      <c r="P24" s="46">
        <v>1.65</v>
      </c>
      <c r="Q24" s="46">
        <v>1.35</v>
      </c>
      <c r="R24" s="46">
        <v>1.01</v>
      </c>
      <c r="S24" s="46">
        <v>0.9</v>
      </c>
      <c r="T24" s="46">
        <v>0.88</v>
      </c>
      <c r="U24" s="46">
        <v>0.9</v>
      </c>
      <c r="V24" s="144">
        <v>1</v>
      </c>
    </row>
    <row r="25" spans="1:22" ht="12.75">
      <c r="A25" s="85" t="s">
        <v>1302</v>
      </c>
      <c r="B25" s="86" t="s">
        <v>1304</v>
      </c>
      <c r="C25" s="141" t="str">
        <f t="shared" si="0"/>
        <v>3 lat/a od dnia zakupu</v>
      </c>
      <c r="D25" s="109">
        <v>41699</v>
      </c>
      <c r="E25" s="109">
        <v>41729</v>
      </c>
      <c r="F25" s="110">
        <v>100</v>
      </c>
      <c r="G25" s="119">
        <v>99.9</v>
      </c>
      <c r="H25" s="263">
        <v>10.6659</v>
      </c>
      <c r="I25" s="263">
        <v>2.9231</v>
      </c>
      <c r="J25" s="44">
        <v>0.033</v>
      </c>
      <c r="K25" s="44">
        <v>0.0266</v>
      </c>
      <c r="L25" s="44">
        <v>0.0189</v>
      </c>
      <c r="M25" s="44">
        <v>0.018</v>
      </c>
      <c r="N25" s="44">
        <v>0.0174</v>
      </c>
      <c r="O25" s="44">
        <v>0.0179</v>
      </c>
      <c r="P25" s="46">
        <v>1.65</v>
      </c>
      <c r="Q25" s="46">
        <v>1.33</v>
      </c>
      <c r="R25" s="46">
        <v>0.95</v>
      </c>
      <c r="S25" s="46">
        <v>0.9</v>
      </c>
      <c r="T25" s="46">
        <v>0.87</v>
      </c>
      <c r="U25" s="46">
        <v>0.9</v>
      </c>
      <c r="V25" s="144">
        <v>1</v>
      </c>
    </row>
    <row r="26" spans="1:22" ht="12.75">
      <c r="A26" s="85" t="s">
        <v>1303</v>
      </c>
      <c r="B26" s="86" t="s">
        <v>1305</v>
      </c>
      <c r="C26" s="141" t="str">
        <f t="shared" si="0"/>
        <v>3 lat/a od dnia zakupu</v>
      </c>
      <c r="D26" s="109">
        <v>41730</v>
      </c>
      <c r="E26" s="109">
        <v>41759</v>
      </c>
      <c r="F26" s="110">
        <v>100</v>
      </c>
      <c r="G26" s="119">
        <v>99.9</v>
      </c>
      <c r="H26" s="263">
        <v>8.3813</v>
      </c>
      <c r="I26" s="263">
        <v>0.5999</v>
      </c>
      <c r="J26" s="44">
        <v>0.033</v>
      </c>
      <c r="K26" s="44">
        <v>0.0241</v>
      </c>
      <c r="L26" s="44">
        <v>0.0166</v>
      </c>
      <c r="M26" s="44">
        <v>0.018</v>
      </c>
      <c r="N26" s="44">
        <v>0.0174</v>
      </c>
      <c r="O26" s="44">
        <v>0.0179</v>
      </c>
      <c r="P26" s="46">
        <v>1.65</v>
      </c>
      <c r="Q26" s="46">
        <v>1.21</v>
      </c>
      <c r="R26" s="46">
        <v>0.83</v>
      </c>
      <c r="S26" s="46">
        <v>0.9</v>
      </c>
      <c r="T26" s="46">
        <v>0.87</v>
      </c>
      <c r="U26" s="46">
        <v>0.9</v>
      </c>
      <c r="V26" s="144">
        <v>1</v>
      </c>
    </row>
    <row r="27" spans="1:22" ht="12.75">
      <c r="A27" s="85" t="s">
        <v>1310</v>
      </c>
      <c r="B27" s="86" t="s">
        <v>1311</v>
      </c>
      <c r="C27" s="141" t="str">
        <f t="shared" si="0"/>
        <v>3 lat/a od dnia zakupu</v>
      </c>
      <c r="D27" s="109">
        <v>41760</v>
      </c>
      <c r="E27" s="109">
        <v>41790</v>
      </c>
      <c r="F27" s="110">
        <v>100</v>
      </c>
      <c r="G27" s="119">
        <v>99.9</v>
      </c>
      <c r="H27" s="263">
        <v>29.5143</v>
      </c>
      <c r="I27" s="263">
        <v>2.7717</v>
      </c>
      <c r="J27" s="44">
        <v>0.033</v>
      </c>
      <c r="K27" s="44">
        <v>0.0198</v>
      </c>
      <c r="L27" s="44">
        <v>0.0166</v>
      </c>
      <c r="M27" s="44">
        <v>0.0181</v>
      </c>
      <c r="N27" s="44">
        <v>0.0174</v>
      </c>
      <c r="O27" s="44">
        <v>0.018</v>
      </c>
      <c r="P27" s="46">
        <v>1.65</v>
      </c>
      <c r="Q27" s="46">
        <v>0.99</v>
      </c>
      <c r="R27" s="46">
        <v>0.83</v>
      </c>
      <c r="S27" s="46">
        <v>0.91</v>
      </c>
      <c r="T27" s="46">
        <v>0.87</v>
      </c>
      <c r="U27" s="46">
        <v>0.9</v>
      </c>
      <c r="V27" s="144">
        <v>1</v>
      </c>
    </row>
    <row r="28" spans="1:22" ht="12.75">
      <c r="A28" s="85" t="s">
        <v>1320</v>
      </c>
      <c r="B28" s="86" t="s">
        <v>1321</v>
      </c>
      <c r="C28" s="141" t="str">
        <f t="shared" si="0"/>
        <v>3 lat/a od dnia zakupu</v>
      </c>
      <c r="D28" s="109">
        <v>41791</v>
      </c>
      <c r="E28" s="87">
        <v>41820</v>
      </c>
      <c r="F28" s="110">
        <v>100</v>
      </c>
      <c r="G28" s="119">
        <v>99.9</v>
      </c>
      <c r="H28" s="263">
        <v>7.7529</v>
      </c>
      <c r="I28" s="263">
        <v>0.6803</v>
      </c>
      <c r="J28" s="44">
        <v>0.033</v>
      </c>
      <c r="K28" s="44">
        <v>0.0205</v>
      </c>
      <c r="L28" s="44">
        <v>0.0174</v>
      </c>
      <c r="M28" s="44">
        <v>0.018</v>
      </c>
      <c r="N28" s="44">
        <v>0.0174</v>
      </c>
      <c r="O28" s="44">
        <v>0.0181</v>
      </c>
      <c r="P28" s="46">
        <v>1.65</v>
      </c>
      <c r="Q28" s="46">
        <v>1.03</v>
      </c>
      <c r="R28" s="46">
        <v>0.87</v>
      </c>
      <c r="S28" s="46">
        <v>0.9</v>
      </c>
      <c r="T28" s="46">
        <v>0.87</v>
      </c>
      <c r="U28" s="46">
        <v>0.91</v>
      </c>
      <c r="V28" s="144">
        <v>1</v>
      </c>
    </row>
    <row r="29" spans="1:22" s="26" customFormat="1" ht="12.75">
      <c r="A29" s="85" t="s">
        <v>1326</v>
      </c>
      <c r="B29" s="86" t="s">
        <v>1327</v>
      </c>
      <c r="C29" s="87" t="str">
        <f t="shared" si="0"/>
        <v>3 lat/a od dnia zakupu</v>
      </c>
      <c r="D29" s="87">
        <v>41821</v>
      </c>
      <c r="E29" s="87">
        <v>41851</v>
      </c>
      <c r="F29" s="88">
        <v>100</v>
      </c>
      <c r="G29" s="120">
        <v>99.9</v>
      </c>
      <c r="H29" s="263">
        <v>10.1694</v>
      </c>
      <c r="I29" s="263">
        <v>0.661</v>
      </c>
      <c r="J29" s="44">
        <v>0.033</v>
      </c>
      <c r="K29" s="44">
        <v>0.0205</v>
      </c>
      <c r="L29" s="44">
        <v>0.0179</v>
      </c>
      <c r="M29" s="44">
        <v>0.0177</v>
      </c>
      <c r="N29" s="44">
        <v>0.0177</v>
      </c>
      <c r="O29" s="44">
        <v>0.0181</v>
      </c>
      <c r="P29" s="46">
        <v>1.65</v>
      </c>
      <c r="Q29" s="46">
        <v>1.03</v>
      </c>
      <c r="R29" s="46">
        <v>0.9</v>
      </c>
      <c r="S29" s="46">
        <v>0.89</v>
      </c>
      <c r="T29" s="46">
        <v>0.89</v>
      </c>
      <c r="U29" s="46">
        <v>0.91</v>
      </c>
      <c r="V29" s="144">
        <v>1</v>
      </c>
    </row>
    <row r="30" spans="1:22" s="26" customFormat="1" ht="12.75">
      <c r="A30" s="85" t="s">
        <v>1334</v>
      </c>
      <c r="B30" s="86" t="s">
        <v>1335</v>
      </c>
      <c r="C30" s="87" t="str">
        <f t="shared" si="0"/>
        <v>3 lat/a od dnia zakupu</v>
      </c>
      <c r="D30" s="87">
        <v>41852</v>
      </c>
      <c r="E30" s="87">
        <v>41882</v>
      </c>
      <c r="F30" s="88">
        <v>100</v>
      </c>
      <c r="G30" s="120">
        <v>99.9</v>
      </c>
      <c r="H30" s="263">
        <v>32.2683</v>
      </c>
      <c r="I30" s="263">
        <v>1.1098</v>
      </c>
      <c r="J30" s="44">
        <v>0.03</v>
      </c>
      <c r="K30" s="44">
        <v>0.0201</v>
      </c>
      <c r="L30" s="44">
        <v>0.0179</v>
      </c>
      <c r="M30" s="44">
        <v>0.0175</v>
      </c>
      <c r="N30" s="44">
        <v>0.0179</v>
      </c>
      <c r="O30" s="44">
        <v>0.0181</v>
      </c>
      <c r="P30" s="46">
        <v>1.5</v>
      </c>
      <c r="Q30" s="46">
        <v>1.01</v>
      </c>
      <c r="R30" s="46">
        <v>0.9</v>
      </c>
      <c r="S30" s="46">
        <v>0.88</v>
      </c>
      <c r="T30" s="46">
        <v>0.9</v>
      </c>
      <c r="U30" s="46">
        <v>0.91</v>
      </c>
      <c r="V30" s="144">
        <v>1</v>
      </c>
    </row>
    <row r="31" spans="1:22" s="26" customFormat="1" ht="12.75">
      <c r="A31" s="85" t="s">
        <v>1342</v>
      </c>
      <c r="B31" s="86" t="s">
        <v>1343</v>
      </c>
      <c r="C31" s="87" t="str">
        <f t="shared" si="0"/>
        <v>3 lat/a od dnia zakupu</v>
      </c>
      <c r="D31" s="87">
        <v>41883</v>
      </c>
      <c r="E31" s="87">
        <v>41912</v>
      </c>
      <c r="F31" s="88">
        <v>100</v>
      </c>
      <c r="G31" s="120">
        <v>99.6</v>
      </c>
      <c r="H31" s="263">
        <v>10.3</v>
      </c>
      <c r="I31" s="263">
        <v>5.1927</v>
      </c>
      <c r="J31" s="44">
        <v>0.028</v>
      </c>
      <c r="K31" s="44">
        <v>0.0189</v>
      </c>
      <c r="L31" s="44">
        <v>0.018</v>
      </c>
      <c r="M31" s="44">
        <v>0.0174</v>
      </c>
      <c r="N31" s="44">
        <v>0.0179</v>
      </c>
      <c r="O31" s="44">
        <v>0.0181</v>
      </c>
      <c r="P31" s="46">
        <v>1.4</v>
      </c>
      <c r="Q31" s="46">
        <v>0.95</v>
      </c>
      <c r="R31" s="46">
        <v>0.9</v>
      </c>
      <c r="S31" s="46">
        <v>0.87</v>
      </c>
      <c r="T31" s="46">
        <v>0.9</v>
      </c>
      <c r="U31" s="46">
        <v>0.91</v>
      </c>
      <c r="V31" s="144">
        <v>1</v>
      </c>
    </row>
    <row r="32" spans="1:22" s="26" customFormat="1" ht="12.75">
      <c r="A32" s="85" t="s">
        <v>1350</v>
      </c>
      <c r="B32" s="86" t="s">
        <v>1351</v>
      </c>
      <c r="C32" s="87" t="str">
        <f t="shared" si="0"/>
        <v>3 lat/a od dnia zakupu</v>
      </c>
      <c r="D32" s="87">
        <v>41913</v>
      </c>
      <c r="E32" s="87">
        <v>41943</v>
      </c>
      <c r="F32" s="88">
        <v>100</v>
      </c>
      <c r="G32" s="120">
        <v>99.9</v>
      </c>
      <c r="H32" s="263">
        <v>5.8062</v>
      </c>
      <c r="I32" s="263">
        <v>1.4199</v>
      </c>
      <c r="J32" s="44">
        <v>0.026</v>
      </c>
      <c r="K32" s="44">
        <v>0.0166</v>
      </c>
      <c r="L32" s="44">
        <v>0.018</v>
      </c>
      <c r="M32" s="44">
        <v>0.0174</v>
      </c>
      <c r="N32" s="44">
        <v>0.0179</v>
      </c>
      <c r="O32" s="44">
        <v>0.0181</v>
      </c>
      <c r="P32" s="46">
        <v>1.3</v>
      </c>
      <c r="Q32" s="46">
        <v>0.83</v>
      </c>
      <c r="R32" s="46">
        <v>0.9</v>
      </c>
      <c r="S32" s="46">
        <v>0.87</v>
      </c>
      <c r="T32" s="46">
        <v>0.9</v>
      </c>
      <c r="U32" s="46">
        <v>0.91</v>
      </c>
      <c r="V32" s="144">
        <v>1</v>
      </c>
    </row>
    <row r="33" spans="1:22" ht="12.75">
      <c r="A33" s="85" t="s">
        <v>1359</v>
      </c>
      <c r="B33" s="86" t="s">
        <v>1361</v>
      </c>
      <c r="C33" s="87" t="str">
        <f t="shared" si="0"/>
        <v>3 lat/a od dnia zakupu</v>
      </c>
      <c r="D33" s="87">
        <v>41944</v>
      </c>
      <c r="E33" s="87">
        <v>41973</v>
      </c>
      <c r="F33" s="88">
        <v>100</v>
      </c>
      <c r="G33" s="120">
        <v>99.9</v>
      </c>
      <c r="H33" s="263">
        <v>26.8107</v>
      </c>
      <c r="I33" s="263">
        <v>1.4013</v>
      </c>
      <c r="J33" s="44">
        <v>0.024</v>
      </c>
      <c r="K33" s="44">
        <v>0.0166</v>
      </c>
      <c r="L33" s="44">
        <v>0.0181</v>
      </c>
      <c r="M33" s="44">
        <v>0.0174</v>
      </c>
      <c r="N33" s="44">
        <v>0.018</v>
      </c>
      <c r="O33" s="44">
        <v>0.0181</v>
      </c>
      <c r="P33" s="46">
        <v>1.2</v>
      </c>
      <c r="Q33" s="46">
        <v>0.83</v>
      </c>
      <c r="R33" s="46">
        <v>0.91</v>
      </c>
      <c r="S33" s="46">
        <v>0.87</v>
      </c>
      <c r="T33" s="46">
        <v>0.9</v>
      </c>
      <c r="U33" s="46">
        <v>0.91</v>
      </c>
      <c r="V33" s="144">
        <v>1</v>
      </c>
    </row>
    <row r="34" spans="1:22" ht="12.75">
      <c r="A34" s="90" t="s">
        <v>1360</v>
      </c>
      <c r="B34" s="91" t="s">
        <v>1362</v>
      </c>
      <c r="C34" s="146" t="str">
        <f t="shared" si="0"/>
        <v>3 lat/a od dnia zakupu</v>
      </c>
      <c r="D34" s="111">
        <v>41974</v>
      </c>
      <c r="E34" s="111">
        <v>42004</v>
      </c>
      <c r="F34" s="112">
        <v>100</v>
      </c>
      <c r="G34" s="121">
        <v>99.9</v>
      </c>
      <c r="H34" s="264">
        <v>12.4751</v>
      </c>
      <c r="I34" s="264">
        <v>3.6963</v>
      </c>
      <c r="J34" s="47">
        <v>0.024</v>
      </c>
      <c r="K34" s="47">
        <v>0.0174</v>
      </c>
      <c r="L34" s="47">
        <v>0.018</v>
      </c>
      <c r="M34" s="47">
        <v>0.0174</v>
      </c>
      <c r="N34" s="47">
        <v>0.0181</v>
      </c>
      <c r="O34" s="47">
        <v>0.0181</v>
      </c>
      <c r="P34" s="42">
        <v>1.2</v>
      </c>
      <c r="Q34" s="42">
        <v>0.87</v>
      </c>
      <c r="R34" s="42">
        <v>0.9</v>
      </c>
      <c r="S34" s="42">
        <v>0.87</v>
      </c>
      <c r="T34" s="42">
        <v>0.91</v>
      </c>
      <c r="U34" s="42">
        <v>0.91</v>
      </c>
      <c r="V34" s="149">
        <v>1</v>
      </c>
    </row>
    <row r="35" spans="1:22" ht="12.75">
      <c r="A35" s="113" t="s">
        <v>1373</v>
      </c>
      <c r="B35" s="114" t="s">
        <v>1374</v>
      </c>
      <c r="C35" s="151" t="str">
        <f t="shared" si="0"/>
        <v>3 lat/a od dnia zakupu</v>
      </c>
      <c r="D35" s="115">
        <v>42005</v>
      </c>
      <c r="E35" s="115">
        <v>42035</v>
      </c>
      <c r="F35" s="116">
        <v>100</v>
      </c>
      <c r="G35" s="117">
        <v>99.9</v>
      </c>
      <c r="H35" s="265">
        <v>5.7101</v>
      </c>
      <c r="I35" s="265">
        <v>0.315</v>
      </c>
      <c r="J35" s="48">
        <v>0.024</v>
      </c>
      <c r="K35" s="48">
        <v>0.0179</v>
      </c>
      <c r="L35" s="48">
        <v>0.0177</v>
      </c>
      <c r="M35" s="48">
        <v>0.0177</v>
      </c>
      <c r="N35" s="48">
        <v>0.0181</v>
      </c>
      <c r="O35" s="48">
        <v>0.0181</v>
      </c>
      <c r="P35" s="49">
        <v>1.2</v>
      </c>
      <c r="Q35" s="49">
        <v>0.9</v>
      </c>
      <c r="R35" s="49">
        <v>0.89</v>
      </c>
      <c r="S35" s="49">
        <v>0.89</v>
      </c>
      <c r="T35" s="49">
        <v>0.91</v>
      </c>
      <c r="U35" s="49">
        <v>0.91</v>
      </c>
      <c r="V35" s="154">
        <v>1</v>
      </c>
    </row>
    <row r="36" spans="1:22" ht="12.75">
      <c r="A36" s="85" t="s">
        <v>1380</v>
      </c>
      <c r="B36" s="86" t="s">
        <v>1382</v>
      </c>
      <c r="C36" s="141" t="str">
        <f t="shared" si="0"/>
        <v>3 lat/a od dnia zakupu</v>
      </c>
      <c r="D36" s="109">
        <v>42036</v>
      </c>
      <c r="E36" s="109">
        <v>42063</v>
      </c>
      <c r="F36" s="110">
        <v>100</v>
      </c>
      <c r="G36" s="119">
        <v>99.9</v>
      </c>
      <c r="H36" s="167">
        <v>21.0583</v>
      </c>
      <c r="I36" s="266">
        <v>1.9867</v>
      </c>
      <c r="J36" s="44">
        <v>0.024</v>
      </c>
      <c r="K36" s="44">
        <v>0.0179</v>
      </c>
      <c r="L36" s="44">
        <v>0.0175</v>
      </c>
      <c r="M36" s="44">
        <v>0.0179</v>
      </c>
      <c r="N36" s="44">
        <v>0.0181</v>
      </c>
      <c r="O36" s="44">
        <v>0.0181</v>
      </c>
      <c r="P36" s="46">
        <v>1.2</v>
      </c>
      <c r="Q36" s="46">
        <v>0.9</v>
      </c>
      <c r="R36" s="46">
        <v>0.88</v>
      </c>
      <c r="S36" s="46">
        <v>0.9</v>
      </c>
      <c r="T36" s="46">
        <v>0.91</v>
      </c>
      <c r="U36" s="46">
        <v>0.91</v>
      </c>
      <c r="V36" s="144">
        <v>1</v>
      </c>
    </row>
    <row r="37" spans="1:22" ht="12.75">
      <c r="A37" s="85" t="s">
        <v>1392</v>
      </c>
      <c r="B37" s="86" t="s">
        <v>1393</v>
      </c>
      <c r="C37" s="87" t="str">
        <f t="shared" si="0"/>
        <v>3 lat/a od dnia zakupu</v>
      </c>
      <c r="D37" s="87">
        <v>42064</v>
      </c>
      <c r="E37" s="87">
        <v>42094</v>
      </c>
      <c r="F37" s="88">
        <v>100</v>
      </c>
      <c r="G37" s="120">
        <v>99.9</v>
      </c>
      <c r="H37" s="178">
        <v>9.992</v>
      </c>
      <c r="I37" s="191">
        <v>2.7881</v>
      </c>
      <c r="J37" s="44">
        <v>0.024</v>
      </c>
      <c r="K37" s="44">
        <v>0.018</v>
      </c>
      <c r="L37" s="44">
        <v>0.0174</v>
      </c>
      <c r="M37" s="44">
        <v>0.0179</v>
      </c>
      <c r="N37" s="44">
        <v>0.0181</v>
      </c>
      <c r="O37" s="44">
        <v>0.0181</v>
      </c>
      <c r="P37" s="46">
        <v>1.2</v>
      </c>
      <c r="Q37" s="46">
        <v>0.9</v>
      </c>
      <c r="R37" s="46">
        <v>0.87</v>
      </c>
      <c r="S37" s="46">
        <v>0.9</v>
      </c>
      <c r="T37" s="46">
        <v>0.91</v>
      </c>
      <c r="U37" s="46">
        <v>0.91</v>
      </c>
      <c r="V37" s="144">
        <v>1</v>
      </c>
    </row>
    <row r="38" spans="1:22" ht="12.75">
      <c r="A38" s="85" t="s">
        <v>1405</v>
      </c>
      <c r="B38" s="86" t="s">
        <v>1406</v>
      </c>
      <c r="C38" s="87" t="str">
        <f t="shared" si="0"/>
        <v>3 lat/a od dnia zakupu</v>
      </c>
      <c r="D38" s="87">
        <v>42095</v>
      </c>
      <c r="E38" s="87">
        <v>42124</v>
      </c>
      <c r="F38" s="88">
        <v>100</v>
      </c>
      <c r="G38" s="120">
        <v>99.9</v>
      </c>
      <c r="H38" s="178">
        <v>5.6192</v>
      </c>
      <c r="I38" s="191">
        <v>1.0435</v>
      </c>
      <c r="J38" s="44">
        <v>0.021</v>
      </c>
      <c r="K38" s="44">
        <v>0.018</v>
      </c>
      <c r="L38" s="44">
        <v>0.0174</v>
      </c>
      <c r="M38" s="44">
        <v>0.0179</v>
      </c>
      <c r="N38" s="44">
        <v>0.0181</v>
      </c>
      <c r="O38" s="44">
        <v>0.0181</v>
      </c>
      <c r="P38" s="46">
        <v>1.05</v>
      </c>
      <c r="Q38" s="46">
        <v>0.9</v>
      </c>
      <c r="R38" s="46">
        <v>0.87</v>
      </c>
      <c r="S38" s="46">
        <v>0.9</v>
      </c>
      <c r="T38" s="46">
        <v>0.91</v>
      </c>
      <c r="U38" s="46">
        <v>0.91</v>
      </c>
      <c r="V38" s="144">
        <v>1</v>
      </c>
    </row>
    <row r="39" spans="1:22" s="26" customFormat="1" ht="12.75">
      <c r="A39" s="85" t="s">
        <v>1413</v>
      </c>
      <c r="B39" s="86" t="s">
        <v>1414</v>
      </c>
      <c r="C39" s="87" t="str">
        <f t="shared" si="0"/>
        <v>3 lat/a od dnia zakupu</v>
      </c>
      <c r="D39" s="87">
        <v>42125</v>
      </c>
      <c r="E39" s="87">
        <v>42155</v>
      </c>
      <c r="F39" s="88">
        <v>100</v>
      </c>
      <c r="G39" s="120">
        <v>99.9</v>
      </c>
      <c r="H39" s="178">
        <v>29.3972</v>
      </c>
      <c r="I39" s="191">
        <v>4.7237</v>
      </c>
      <c r="J39" s="44">
        <v>0.021</v>
      </c>
      <c r="K39" s="44">
        <v>0.0181</v>
      </c>
      <c r="L39" s="44">
        <v>0.0174</v>
      </c>
      <c r="M39" s="44">
        <v>0.018</v>
      </c>
      <c r="N39" s="44">
        <v>0.0181</v>
      </c>
      <c r="O39" s="44">
        <v>0.0181</v>
      </c>
      <c r="P39" s="46">
        <v>1.05</v>
      </c>
      <c r="Q39" s="46">
        <v>0.91</v>
      </c>
      <c r="R39" s="46">
        <v>0.87</v>
      </c>
      <c r="S39" s="46">
        <v>0.9</v>
      </c>
      <c r="T39" s="46">
        <v>0.91</v>
      </c>
      <c r="U39" s="46">
        <v>0.91</v>
      </c>
      <c r="V39" s="144">
        <v>1</v>
      </c>
    </row>
    <row r="40" spans="1:22" ht="12.75">
      <c r="A40" s="85" t="s">
        <v>1421</v>
      </c>
      <c r="B40" s="86" t="s">
        <v>1422</v>
      </c>
      <c r="C40" s="87" t="str">
        <f t="shared" si="0"/>
        <v>3 lat/a od dnia zakupu</v>
      </c>
      <c r="D40" s="87">
        <v>42156</v>
      </c>
      <c r="E40" s="87">
        <v>42185</v>
      </c>
      <c r="F40" s="88">
        <v>100</v>
      </c>
      <c r="G40" s="120">
        <v>99.9</v>
      </c>
      <c r="H40" s="178">
        <v>8.9392</v>
      </c>
      <c r="I40" s="191">
        <v>1.4171</v>
      </c>
      <c r="J40" s="44">
        <v>0.021</v>
      </c>
      <c r="K40" s="44">
        <v>0.018</v>
      </c>
      <c r="L40" s="44">
        <v>0.0174</v>
      </c>
      <c r="M40" s="44">
        <v>0.0181</v>
      </c>
      <c r="N40" s="44">
        <v>0.0181</v>
      </c>
      <c r="O40" s="44">
        <v>0.0181</v>
      </c>
      <c r="P40" s="46">
        <v>1.05</v>
      </c>
      <c r="Q40" s="46">
        <v>0.9</v>
      </c>
      <c r="R40" s="46">
        <v>0.87</v>
      </c>
      <c r="S40" s="46">
        <v>0.91</v>
      </c>
      <c r="T40" s="46">
        <v>0.91</v>
      </c>
      <c r="U40" s="46">
        <v>0.91</v>
      </c>
      <c r="V40" s="144">
        <v>1</v>
      </c>
    </row>
    <row r="41" spans="1:22" s="26" customFormat="1" ht="12.75">
      <c r="A41" s="85" t="s">
        <v>1430</v>
      </c>
      <c r="B41" s="86" t="s">
        <v>1432</v>
      </c>
      <c r="C41" s="87" t="str">
        <f t="shared" si="0"/>
        <v>3 lat/a od dnia zakupu</v>
      </c>
      <c r="D41" s="87">
        <v>42186</v>
      </c>
      <c r="E41" s="87">
        <v>42216</v>
      </c>
      <c r="F41" s="88">
        <v>100</v>
      </c>
      <c r="G41" s="120">
        <v>99.9</v>
      </c>
      <c r="H41" s="178">
        <v>17.3506</v>
      </c>
      <c r="I41" s="191">
        <v>3.0166</v>
      </c>
      <c r="J41" s="44">
        <v>0.021</v>
      </c>
      <c r="K41" s="44">
        <v>0.0177</v>
      </c>
      <c r="L41" s="44">
        <v>0.0177</v>
      </c>
      <c r="M41" s="44">
        <v>0.0181</v>
      </c>
      <c r="N41" s="44">
        <v>0.0181</v>
      </c>
      <c r="O41" s="44">
        <v>0.0181</v>
      </c>
      <c r="P41" s="46">
        <v>1.05</v>
      </c>
      <c r="Q41" s="46">
        <v>0.89</v>
      </c>
      <c r="R41" s="46">
        <v>0.89</v>
      </c>
      <c r="S41" s="46">
        <v>0.91</v>
      </c>
      <c r="T41" s="46">
        <v>0.91</v>
      </c>
      <c r="U41" s="46">
        <v>0.91</v>
      </c>
      <c r="V41" s="144">
        <v>1</v>
      </c>
    </row>
    <row r="42" spans="1:22" s="26" customFormat="1" ht="12.75">
      <c r="A42" s="85" t="s">
        <v>1435</v>
      </c>
      <c r="B42" s="86" t="s">
        <v>1440</v>
      </c>
      <c r="C42" s="87" t="str">
        <f t="shared" si="0"/>
        <v>3 lat/a od dnia zakupu</v>
      </c>
      <c r="D42" s="87">
        <v>42217</v>
      </c>
      <c r="E42" s="87">
        <v>42247</v>
      </c>
      <c r="F42" s="88">
        <v>100</v>
      </c>
      <c r="G42" s="120">
        <v>99.9</v>
      </c>
      <c r="H42" s="178">
        <v>22.9103</v>
      </c>
      <c r="I42" s="191">
        <v>7.6843</v>
      </c>
      <c r="J42" s="44">
        <v>0.021</v>
      </c>
      <c r="K42" s="44">
        <v>0.0175</v>
      </c>
      <c r="L42" s="44">
        <v>0.0179</v>
      </c>
      <c r="M42" s="44">
        <v>0.0181</v>
      </c>
      <c r="N42" s="44">
        <v>0.0181</v>
      </c>
      <c r="O42" s="44">
        <v>0.0181</v>
      </c>
      <c r="P42" s="46">
        <v>1.05</v>
      </c>
      <c r="Q42" s="46">
        <v>0.88</v>
      </c>
      <c r="R42" s="46">
        <v>0.9</v>
      </c>
      <c r="S42" s="46">
        <v>0.91</v>
      </c>
      <c r="T42" s="46">
        <v>0.91</v>
      </c>
      <c r="U42" s="46">
        <v>0.91</v>
      </c>
      <c r="V42" s="144">
        <v>1</v>
      </c>
    </row>
    <row r="43" spans="1:22" s="26" customFormat="1" ht="12.75">
      <c r="A43" s="85" t="s">
        <v>1446</v>
      </c>
      <c r="B43" s="86" t="s">
        <v>1448</v>
      </c>
      <c r="C43" s="87" t="str">
        <f t="shared" si="0"/>
        <v>3 lat/a od dnia zakupu</v>
      </c>
      <c r="D43" s="87">
        <v>42248</v>
      </c>
      <c r="E43" s="87">
        <v>42277</v>
      </c>
      <c r="F43" s="88">
        <v>100</v>
      </c>
      <c r="G43" s="120">
        <v>99.9</v>
      </c>
      <c r="H43" s="178">
        <v>12.1381</v>
      </c>
      <c r="I43" s="191">
        <v>3.5837</v>
      </c>
      <c r="J43" s="44">
        <v>0.021</v>
      </c>
      <c r="K43" s="44">
        <v>0.0174</v>
      </c>
      <c r="L43" s="44">
        <v>0.0179</v>
      </c>
      <c r="M43" s="44">
        <v>0.0181</v>
      </c>
      <c r="N43" s="44">
        <v>0.0181</v>
      </c>
      <c r="O43" s="44">
        <v>0.0181</v>
      </c>
      <c r="P43" s="46">
        <v>1.05</v>
      </c>
      <c r="Q43" s="46">
        <v>0.87</v>
      </c>
      <c r="R43" s="46">
        <v>0.9</v>
      </c>
      <c r="S43" s="46">
        <v>0.91</v>
      </c>
      <c r="T43" s="46">
        <v>0.91</v>
      </c>
      <c r="U43" s="46">
        <v>0.91</v>
      </c>
      <c r="V43" s="144">
        <v>1</v>
      </c>
    </row>
    <row r="44" spans="1:22" s="26" customFormat="1" ht="12.75">
      <c r="A44" s="85" t="s">
        <v>1454</v>
      </c>
      <c r="B44" s="86" t="s">
        <v>1455</v>
      </c>
      <c r="C44" s="87" t="str">
        <f t="shared" si="0"/>
        <v>3 lat/a od dnia zakupu</v>
      </c>
      <c r="D44" s="87">
        <v>42278</v>
      </c>
      <c r="E44" s="87">
        <v>42308</v>
      </c>
      <c r="F44" s="88">
        <v>100</v>
      </c>
      <c r="G44" s="120">
        <v>99.9</v>
      </c>
      <c r="H44" s="178">
        <v>11.1368</v>
      </c>
      <c r="I44" s="191">
        <v>4.3278</v>
      </c>
      <c r="J44" s="44">
        <v>0.021</v>
      </c>
      <c r="K44" s="44">
        <v>0.0174</v>
      </c>
      <c r="L44" s="44">
        <v>0.0179</v>
      </c>
      <c r="M44" s="44">
        <v>0.0181</v>
      </c>
      <c r="N44" s="44">
        <v>0.0181</v>
      </c>
      <c r="O44" s="44">
        <v>0.0178</v>
      </c>
      <c r="P44" s="46">
        <v>1.05</v>
      </c>
      <c r="Q44" s="46">
        <v>0.87</v>
      </c>
      <c r="R44" s="46">
        <v>0.9</v>
      </c>
      <c r="S44" s="46">
        <v>0.91</v>
      </c>
      <c r="T44" s="46">
        <v>0.91</v>
      </c>
      <c r="U44" s="46">
        <v>0.89</v>
      </c>
      <c r="V44" s="144">
        <v>1</v>
      </c>
    </row>
    <row r="45" spans="1:22" s="26" customFormat="1" ht="12.75">
      <c r="A45" s="85" t="s">
        <v>1465</v>
      </c>
      <c r="B45" s="86" t="s">
        <v>1466</v>
      </c>
      <c r="C45" s="87" t="str">
        <f t="shared" si="0"/>
        <v>3 lat/a od dnia zakupu</v>
      </c>
      <c r="D45" s="87">
        <v>42309</v>
      </c>
      <c r="E45" s="87">
        <v>42338</v>
      </c>
      <c r="F45" s="88">
        <v>100</v>
      </c>
      <c r="G45" s="120">
        <v>99.9</v>
      </c>
      <c r="H45" s="178">
        <v>16.5181</v>
      </c>
      <c r="I45" s="191">
        <v>7.6067</v>
      </c>
      <c r="J45" s="44">
        <v>0.022</v>
      </c>
      <c r="K45" s="44">
        <v>0.0174</v>
      </c>
      <c r="L45" s="44">
        <v>0.018</v>
      </c>
      <c r="M45" s="44">
        <v>0.0181</v>
      </c>
      <c r="N45" s="44">
        <v>0.0181</v>
      </c>
      <c r="O45" s="44">
        <v>0.0178</v>
      </c>
      <c r="P45" s="46">
        <v>1.1</v>
      </c>
      <c r="Q45" s="46">
        <v>0.87</v>
      </c>
      <c r="R45" s="46">
        <v>0.9</v>
      </c>
      <c r="S45" s="46">
        <v>0.91</v>
      </c>
      <c r="T45" s="46">
        <v>0.91</v>
      </c>
      <c r="U45" s="46">
        <v>0.89</v>
      </c>
      <c r="V45" s="144">
        <v>1</v>
      </c>
    </row>
    <row r="46" spans="1:22" s="26" customFormat="1" ht="12.75">
      <c r="A46" s="90" t="s">
        <v>1474</v>
      </c>
      <c r="B46" s="91" t="s">
        <v>1476</v>
      </c>
      <c r="C46" s="146" t="str">
        <f t="shared" si="0"/>
        <v>3 lat/a od dnia zakupu</v>
      </c>
      <c r="D46" s="146">
        <v>42339</v>
      </c>
      <c r="E46" s="146">
        <v>42369</v>
      </c>
      <c r="F46" s="267">
        <v>100</v>
      </c>
      <c r="G46" s="268">
        <v>99.9</v>
      </c>
      <c r="H46" s="269">
        <v>8.8736</v>
      </c>
      <c r="I46" s="270">
        <v>3.1562</v>
      </c>
      <c r="J46" s="47">
        <v>0.021</v>
      </c>
      <c r="K46" s="47">
        <v>0.0174</v>
      </c>
      <c r="L46" s="47">
        <v>0.0181</v>
      </c>
      <c r="M46" s="47">
        <v>0.0181</v>
      </c>
      <c r="N46" s="47">
        <v>0.0181</v>
      </c>
      <c r="O46" s="47">
        <v>0.0178</v>
      </c>
      <c r="P46" s="42">
        <v>1.05</v>
      </c>
      <c r="Q46" s="42">
        <v>0.87</v>
      </c>
      <c r="R46" s="42">
        <v>0.91</v>
      </c>
      <c r="S46" s="42">
        <v>0.91</v>
      </c>
      <c r="T46" s="42">
        <v>0.91</v>
      </c>
      <c r="U46" s="42">
        <v>0.89</v>
      </c>
      <c r="V46" s="149">
        <v>1</v>
      </c>
    </row>
    <row r="47" spans="1:22" ht="12.75">
      <c r="A47" s="113" t="s">
        <v>1480</v>
      </c>
      <c r="B47" s="114" t="s">
        <v>1482</v>
      </c>
      <c r="C47" s="151" t="str">
        <f t="shared" si="0"/>
        <v>3 lat/a od dnia zakupu</v>
      </c>
      <c r="D47" s="115">
        <v>42370</v>
      </c>
      <c r="E47" s="115">
        <v>42400</v>
      </c>
      <c r="F47" s="116">
        <v>100</v>
      </c>
      <c r="G47" s="117">
        <v>99.9</v>
      </c>
      <c r="H47" s="265">
        <v>12.8898</v>
      </c>
      <c r="I47" s="265">
        <v>3.2338</v>
      </c>
      <c r="J47" s="48">
        <v>0.021</v>
      </c>
      <c r="K47" s="48">
        <v>0.0177</v>
      </c>
      <c r="L47" s="48">
        <v>0.0181</v>
      </c>
      <c r="M47" s="48">
        <v>0.0181</v>
      </c>
      <c r="N47" s="48">
        <v>0.0181</v>
      </c>
      <c r="O47" s="48">
        <v>0.0178</v>
      </c>
      <c r="P47" s="49">
        <v>1.05</v>
      </c>
      <c r="Q47" s="49">
        <v>0.89</v>
      </c>
      <c r="R47" s="49">
        <v>0.91</v>
      </c>
      <c r="S47" s="49">
        <v>0.91</v>
      </c>
      <c r="T47" s="49">
        <v>0.91</v>
      </c>
      <c r="U47" s="49">
        <v>0.89</v>
      </c>
      <c r="V47" s="154">
        <v>1</v>
      </c>
    </row>
    <row r="48" spans="1:22" ht="12.75">
      <c r="A48" s="85" t="s">
        <v>1489</v>
      </c>
      <c r="B48" s="86" t="s">
        <v>1490</v>
      </c>
      <c r="C48" s="87" t="str">
        <f t="shared" si="0"/>
        <v>3 lat/a od dnia zakupu</v>
      </c>
      <c r="D48" s="87">
        <v>42401</v>
      </c>
      <c r="E48" s="87">
        <v>42428</v>
      </c>
      <c r="F48" s="88">
        <v>100</v>
      </c>
      <c r="G48" s="120">
        <v>99.6</v>
      </c>
      <c r="H48" s="178">
        <v>33.7194</v>
      </c>
      <c r="I48" s="191">
        <v>25.892</v>
      </c>
      <c r="J48" s="44">
        <v>0.021</v>
      </c>
      <c r="K48" s="44">
        <v>0.0179</v>
      </c>
      <c r="L48" s="44">
        <v>0.0181</v>
      </c>
      <c r="M48" s="44">
        <v>0.0181</v>
      </c>
      <c r="N48" s="44">
        <v>0.0181</v>
      </c>
      <c r="O48" s="44">
        <v>0.0178</v>
      </c>
      <c r="P48" s="46">
        <v>1.05</v>
      </c>
      <c r="Q48" s="46">
        <v>0.9</v>
      </c>
      <c r="R48" s="46">
        <v>0.91</v>
      </c>
      <c r="S48" s="46">
        <v>0.91</v>
      </c>
      <c r="T48" s="46">
        <v>0.91</v>
      </c>
      <c r="U48" s="46">
        <v>0.89</v>
      </c>
      <c r="V48" s="144">
        <v>1</v>
      </c>
    </row>
    <row r="49" spans="1:22" ht="12.75">
      <c r="A49" s="85" t="s">
        <v>1497</v>
      </c>
      <c r="B49" s="86" t="s">
        <v>1498</v>
      </c>
      <c r="C49" s="87" t="str">
        <f t="shared" si="0"/>
        <v>3 lat/a od dnia zakupu</v>
      </c>
      <c r="D49" s="87">
        <v>42430</v>
      </c>
      <c r="E49" s="87">
        <v>42460</v>
      </c>
      <c r="F49" s="88">
        <v>100</v>
      </c>
      <c r="G49" s="120">
        <v>99.9</v>
      </c>
      <c r="H49" s="178">
        <v>11.1641</v>
      </c>
      <c r="I49" s="191">
        <v>3.4217</v>
      </c>
      <c r="J49" s="44">
        <v>0.021</v>
      </c>
      <c r="K49" s="44">
        <v>0.0179</v>
      </c>
      <c r="L49" s="44">
        <v>0.0181</v>
      </c>
      <c r="M49" s="44">
        <v>0.0181</v>
      </c>
      <c r="N49" s="44">
        <v>0.0181</v>
      </c>
      <c r="O49" s="44">
        <v>0.0179</v>
      </c>
      <c r="P49" s="46">
        <v>1.05</v>
      </c>
      <c r="Q49" s="46">
        <v>0.9</v>
      </c>
      <c r="R49" s="46">
        <v>0.91</v>
      </c>
      <c r="S49" s="46">
        <v>0.91</v>
      </c>
      <c r="T49" s="46">
        <v>0.91</v>
      </c>
      <c r="U49" s="46">
        <v>0.9</v>
      </c>
      <c r="V49" s="144">
        <v>1</v>
      </c>
    </row>
    <row r="50" spans="1:22" ht="12.75">
      <c r="A50" s="85" t="s">
        <v>1505</v>
      </c>
      <c r="B50" s="86" t="s">
        <v>1506</v>
      </c>
      <c r="C50" s="87" t="str">
        <f t="shared" si="0"/>
        <v>3 lat/a od dnia zakupu</v>
      </c>
      <c r="D50" s="87">
        <v>42461</v>
      </c>
      <c r="E50" s="87">
        <v>42490</v>
      </c>
      <c r="F50" s="88">
        <v>100</v>
      </c>
      <c r="G50" s="120">
        <v>99.9</v>
      </c>
      <c r="H50" s="178">
        <v>14.4988</v>
      </c>
      <c r="I50" s="191">
        <v>2.1644</v>
      </c>
      <c r="J50" s="44">
        <v>0.021</v>
      </c>
      <c r="K50" s="44">
        <v>0.0179</v>
      </c>
      <c r="L50" s="44">
        <v>0.0181</v>
      </c>
      <c r="M50" s="44">
        <v>0.0181</v>
      </c>
      <c r="N50" s="44">
        <v>0.0178</v>
      </c>
      <c r="O50" s="44">
        <v>0.0179</v>
      </c>
      <c r="P50" s="46">
        <v>1.05</v>
      </c>
      <c r="Q50" s="46">
        <v>0.9</v>
      </c>
      <c r="R50" s="46">
        <v>0.91</v>
      </c>
      <c r="S50" s="46">
        <v>0.91</v>
      </c>
      <c r="T50" s="46">
        <v>0.89</v>
      </c>
      <c r="U50" s="46">
        <v>0.9</v>
      </c>
      <c r="V50" s="144">
        <v>1</v>
      </c>
    </row>
    <row r="51" spans="1:22" ht="12.75">
      <c r="A51" s="85" t="s">
        <v>1512</v>
      </c>
      <c r="B51" s="86" t="s">
        <v>1516</v>
      </c>
      <c r="C51" s="87" t="str">
        <f t="shared" si="0"/>
        <v>3 lat/a od dnia zakupu</v>
      </c>
      <c r="D51" s="87">
        <v>42491</v>
      </c>
      <c r="E51" s="87">
        <v>42521</v>
      </c>
      <c r="F51" s="88">
        <v>100</v>
      </c>
      <c r="G51" s="120">
        <v>99.9</v>
      </c>
      <c r="H51" s="178">
        <v>17.186</v>
      </c>
      <c r="I51" s="191">
        <v>8.343</v>
      </c>
      <c r="J51" s="44">
        <v>0.021</v>
      </c>
      <c r="K51" s="44">
        <v>0.018</v>
      </c>
      <c r="L51" s="44">
        <v>0.0181</v>
      </c>
      <c r="M51" s="44">
        <v>0.0181</v>
      </c>
      <c r="N51" s="44">
        <v>0.0178</v>
      </c>
      <c r="O51" s="44">
        <v>0.0179</v>
      </c>
      <c r="P51" s="46">
        <v>1.05</v>
      </c>
      <c r="Q51" s="46">
        <v>0.9</v>
      </c>
      <c r="R51" s="46">
        <v>0.91</v>
      </c>
      <c r="S51" s="46">
        <v>0.91</v>
      </c>
      <c r="T51" s="46">
        <v>0.89</v>
      </c>
      <c r="U51" s="46">
        <v>0.9</v>
      </c>
      <c r="V51" s="144">
        <v>1</v>
      </c>
    </row>
    <row r="52" spans="1:22" ht="12.75">
      <c r="A52" s="85" t="s">
        <v>1521</v>
      </c>
      <c r="B52" s="86" t="s">
        <v>1522</v>
      </c>
      <c r="C52" s="87" t="str">
        <f t="shared" si="0"/>
        <v>3 lat/a od dnia zakupu</v>
      </c>
      <c r="D52" s="87">
        <v>42522</v>
      </c>
      <c r="E52" s="87">
        <v>42551</v>
      </c>
      <c r="F52" s="88">
        <v>100</v>
      </c>
      <c r="G52" s="120">
        <v>99.9</v>
      </c>
      <c r="H52" s="178">
        <v>14.5084</v>
      </c>
      <c r="I52" s="191">
        <v>2.1145</v>
      </c>
      <c r="J52" s="44">
        <v>0.021</v>
      </c>
      <c r="K52" s="44">
        <v>0.0181</v>
      </c>
      <c r="L52" s="44">
        <v>0.0181</v>
      </c>
      <c r="M52" s="44">
        <v>0.0181</v>
      </c>
      <c r="N52" s="44">
        <v>0.0178</v>
      </c>
      <c r="O52" s="44">
        <v>0.0179</v>
      </c>
      <c r="P52" s="46">
        <v>1.05</v>
      </c>
      <c r="Q52" s="46">
        <v>0.91</v>
      </c>
      <c r="R52" s="46">
        <v>0.91</v>
      </c>
      <c r="S52" s="46">
        <v>0.91</v>
      </c>
      <c r="T52" s="46">
        <v>0.89</v>
      </c>
      <c r="U52" s="46">
        <v>0.9</v>
      </c>
      <c r="V52" s="144">
        <v>1</v>
      </c>
    </row>
    <row r="53" spans="1:22" ht="12.75">
      <c r="A53" s="85" t="s">
        <v>1529</v>
      </c>
      <c r="B53" s="86" t="s">
        <v>1530</v>
      </c>
      <c r="C53" s="87" t="str">
        <f t="shared" si="0"/>
        <v>3 lat/a od dnia zakupu</v>
      </c>
      <c r="D53" s="87">
        <v>42552</v>
      </c>
      <c r="E53" s="87">
        <v>42582</v>
      </c>
      <c r="F53" s="88">
        <v>100</v>
      </c>
      <c r="G53" s="120">
        <v>99.9</v>
      </c>
      <c r="H53" s="178">
        <v>11.4796</v>
      </c>
      <c r="I53" s="191">
        <v>2.6924</v>
      </c>
      <c r="J53" s="44">
        <v>0.021</v>
      </c>
      <c r="K53" s="44">
        <v>0.0181</v>
      </c>
      <c r="L53" s="44">
        <v>0.0181</v>
      </c>
      <c r="M53" s="44">
        <v>0.0181</v>
      </c>
      <c r="N53" s="44">
        <v>0.0178</v>
      </c>
      <c r="O53" s="44">
        <v>0.0179</v>
      </c>
      <c r="P53" s="46">
        <v>1.05</v>
      </c>
      <c r="Q53" s="46">
        <v>0.91</v>
      </c>
      <c r="R53" s="46">
        <v>0.91</v>
      </c>
      <c r="S53" s="46">
        <v>0.91</v>
      </c>
      <c r="T53" s="46">
        <v>0.89</v>
      </c>
      <c r="U53" s="46">
        <v>0.9</v>
      </c>
      <c r="V53" s="144">
        <v>1</v>
      </c>
    </row>
    <row r="54" spans="1:22" ht="12.75">
      <c r="A54" s="85" t="s">
        <v>1536</v>
      </c>
      <c r="B54" s="86" t="s">
        <v>1540</v>
      </c>
      <c r="C54" s="87" t="str">
        <f t="shared" si="0"/>
        <v>3 lat/a od dnia zakupu</v>
      </c>
      <c r="D54" s="87">
        <v>42583</v>
      </c>
      <c r="E54" s="87">
        <v>42613</v>
      </c>
      <c r="F54" s="88">
        <v>100</v>
      </c>
      <c r="G54" s="120">
        <v>99.9</v>
      </c>
      <c r="H54" s="178">
        <v>24.6649</v>
      </c>
      <c r="I54" s="191">
        <v>13.4292</v>
      </c>
      <c r="J54" s="44">
        <v>0.021</v>
      </c>
      <c r="K54" s="44">
        <v>0.0181</v>
      </c>
      <c r="L54" s="44">
        <v>0.0181</v>
      </c>
      <c r="M54" s="44">
        <v>0.0181</v>
      </c>
      <c r="N54" s="44">
        <v>0.0178</v>
      </c>
      <c r="O54" s="44">
        <v>0.0179</v>
      </c>
      <c r="P54" s="46">
        <v>1.05</v>
      </c>
      <c r="Q54" s="46">
        <v>0.91</v>
      </c>
      <c r="R54" s="46">
        <v>0.91</v>
      </c>
      <c r="S54" s="46">
        <v>0.91</v>
      </c>
      <c r="T54" s="46">
        <v>0.89</v>
      </c>
      <c r="U54" s="46">
        <v>0.9</v>
      </c>
      <c r="V54" s="144">
        <v>1</v>
      </c>
    </row>
    <row r="55" spans="1:22" ht="12.75">
      <c r="A55" s="85" t="s">
        <v>1545</v>
      </c>
      <c r="B55" s="86" t="s">
        <v>1546</v>
      </c>
      <c r="C55" s="87" t="str">
        <f t="shared" si="0"/>
        <v>3 lat/a od dnia zakupu</v>
      </c>
      <c r="D55" s="87">
        <v>42614</v>
      </c>
      <c r="E55" s="87">
        <v>42643</v>
      </c>
      <c r="F55" s="88">
        <v>100</v>
      </c>
      <c r="G55" s="120">
        <v>99.9</v>
      </c>
      <c r="H55" s="178">
        <v>8.9115</v>
      </c>
      <c r="I55" s="191">
        <v>2.8914</v>
      </c>
      <c r="J55" s="44">
        <v>0.021</v>
      </c>
      <c r="K55" s="44">
        <v>0.0181</v>
      </c>
      <c r="L55" s="44">
        <v>0.0181</v>
      </c>
      <c r="M55" s="44">
        <v>0.0181</v>
      </c>
      <c r="N55" s="44">
        <v>0.0179</v>
      </c>
      <c r="O55" s="44">
        <v>0.0179</v>
      </c>
      <c r="P55" s="46">
        <v>1.05</v>
      </c>
      <c r="Q55" s="46">
        <v>0.91</v>
      </c>
      <c r="R55" s="46">
        <v>0.91</v>
      </c>
      <c r="S55" s="46">
        <v>0.91</v>
      </c>
      <c r="T55" s="46">
        <v>0.9</v>
      </c>
      <c r="U55" s="46">
        <v>0.9</v>
      </c>
      <c r="V55" s="144">
        <v>1</v>
      </c>
    </row>
    <row r="56" spans="1:22" ht="12.75">
      <c r="A56" s="85" t="s">
        <v>1556</v>
      </c>
      <c r="B56" s="86" t="s">
        <v>1557</v>
      </c>
      <c r="C56" s="87" t="str">
        <f t="shared" si="0"/>
        <v>3 lat/a od dnia zakupu</v>
      </c>
      <c r="D56" s="87">
        <v>42644</v>
      </c>
      <c r="E56" s="87">
        <v>42674</v>
      </c>
      <c r="F56" s="88">
        <v>100</v>
      </c>
      <c r="G56" s="120">
        <v>99.7</v>
      </c>
      <c r="H56" s="178">
        <v>19.1251</v>
      </c>
      <c r="I56" s="191">
        <v>10.9698</v>
      </c>
      <c r="J56" s="44">
        <v>0.021</v>
      </c>
      <c r="K56" s="44">
        <v>0.0181</v>
      </c>
      <c r="L56" s="44">
        <v>0.0181</v>
      </c>
      <c r="M56" s="44">
        <v>0.0178</v>
      </c>
      <c r="N56" s="44">
        <v>0.0179</v>
      </c>
      <c r="O56" s="44">
        <v>0.0179</v>
      </c>
      <c r="P56" s="46">
        <v>1.05</v>
      </c>
      <c r="Q56" s="46">
        <v>0.91</v>
      </c>
      <c r="R56" s="46">
        <v>0.91</v>
      </c>
      <c r="S56" s="46">
        <v>0.89</v>
      </c>
      <c r="T56" s="46">
        <v>0.9</v>
      </c>
      <c r="U56" s="46">
        <v>0.9</v>
      </c>
      <c r="V56" s="144">
        <v>1</v>
      </c>
    </row>
    <row r="57" spans="1:22" ht="12.75">
      <c r="A57" s="85" t="s">
        <v>1566</v>
      </c>
      <c r="B57" s="86" t="s">
        <v>1567</v>
      </c>
      <c r="C57" s="87" t="str">
        <f t="shared" si="0"/>
        <v>3 lat/a od dnia zakupu</v>
      </c>
      <c r="D57" s="87">
        <v>42675</v>
      </c>
      <c r="E57" s="87">
        <v>42704</v>
      </c>
      <c r="F57" s="88">
        <v>100</v>
      </c>
      <c r="G57" s="120">
        <v>99.9</v>
      </c>
      <c r="H57" s="178">
        <v>23.0302</v>
      </c>
      <c r="I57" s="191">
        <v>13.2527</v>
      </c>
      <c r="J57" s="44">
        <v>0.021</v>
      </c>
      <c r="K57" s="44">
        <v>0.0181</v>
      </c>
      <c r="L57" s="44">
        <v>0.0181</v>
      </c>
      <c r="M57" s="44">
        <v>0.0178</v>
      </c>
      <c r="N57" s="44">
        <v>0.0179</v>
      </c>
      <c r="O57" s="44">
        <v>0.0179</v>
      </c>
      <c r="P57" s="46">
        <v>1.05</v>
      </c>
      <c r="Q57" s="46">
        <v>0.91</v>
      </c>
      <c r="R57" s="46">
        <v>0.91</v>
      </c>
      <c r="S57" s="46">
        <v>0.89</v>
      </c>
      <c r="T57" s="46">
        <v>0.9</v>
      </c>
      <c r="U57" s="46">
        <v>0.9</v>
      </c>
      <c r="V57" s="144">
        <v>1</v>
      </c>
    </row>
    <row r="58" spans="1:22" s="26" customFormat="1" ht="12.75">
      <c r="A58" s="90" t="s">
        <v>1578</v>
      </c>
      <c r="B58" s="91" t="s">
        <v>1579</v>
      </c>
      <c r="C58" s="146" t="str">
        <f t="shared" si="0"/>
        <v>3 lat/a od dnia zakupu</v>
      </c>
      <c r="D58" s="146">
        <v>42705</v>
      </c>
      <c r="E58" s="146">
        <v>42735</v>
      </c>
      <c r="F58" s="267">
        <v>100</v>
      </c>
      <c r="G58" s="268">
        <v>99.9</v>
      </c>
      <c r="H58" s="269">
        <v>15.8756</v>
      </c>
      <c r="I58" s="270">
        <v>4.624</v>
      </c>
      <c r="J58" s="47">
        <v>0.022</v>
      </c>
      <c r="K58" s="47">
        <v>0.0181</v>
      </c>
      <c r="L58" s="47">
        <v>0.0181</v>
      </c>
      <c r="M58" s="47">
        <v>0.0178</v>
      </c>
      <c r="N58" s="47">
        <v>0.0179</v>
      </c>
      <c r="O58" s="47">
        <v>0.0179</v>
      </c>
      <c r="P58" s="42">
        <v>1.1</v>
      </c>
      <c r="Q58" s="42">
        <v>0.91</v>
      </c>
      <c r="R58" s="42">
        <v>0.91</v>
      </c>
      <c r="S58" s="42">
        <v>0.89</v>
      </c>
      <c r="T58" s="42">
        <v>0.9</v>
      </c>
      <c r="U58" s="42">
        <v>0.9</v>
      </c>
      <c r="V58" s="149">
        <v>1</v>
      </c>
    </row>
    <row r="59" spans="1:22" ht="12.75">
      <c r="A59" s="113" t="s">
        <v>1590</v>
      </c>
      <c r="B59" s="114" t="s">
        <v>1591</v>
      </c>
      <c r="C59" s="151" t="str">
        <f t="shared" si="0"/>
        <v>3 lat/a od dnia zakupu</v>
      </c>
      <c r="D59" s="115">
        <v>42736</v>
      </c>
      <c r="E59" s="115">
        <v>42766</v>
      </c>
      <c r="F59" s="116">
        <v>100</v>
      </c>
      <c r="G59" s="117">
        <v>99.9</v>
      </c>
      <c r="H59" s="265">
        <v>21.1261</v>
      </c>
      <c r="I59" s="265">
        <v>4.819</v>
      </c>
      <c r="J59" s="48">
        <v>0.022</v>
      </c>
      <c r="K59" s="48">
        <v>0.0181</v>
      </c>
      <c r="L59" s="48">
        <v>0.0181</v>
      </c>
      <c r="M59" s="48">
        <v>0.0178</v>
      </c>
      <c r="N59" s="48">
        <v>0.0179</v>
      </c>
      <c r="O59" s="48">
        <v>0.0179</v>
      </c>
      <c r="P59" s="49">
        <v>1.1</v>
      </c>
      <c r="Q59" s="49">
        <v>0.91</v>
      </c>
      <c r="R59" s="49">
        <v>0.91</v>
      </c>
      <c r="S59" s="49">
        <v>0.89</v>
      </c>
      <c r="T59" s="49">
        <v>0.9</v>
      </c>
      <c r="U59" s="49">
        <v>0.9</v>
      </c>
      <c r="V59" s="154">
        <v>1</v>
      </c>
    </row>
    <row r="60" spans="1:22" s="26" customFormat="1" ht="12.75">
      <c r="A60" s="85" t="s">
        <v>1601</v>
      </c>
      <c r="B60" s="86" t="s">
        <v>1602</v>
      </c>
      <c r="C60" s="87" t="str">
        <f t="shared" si="0"/>
        <v>3 lat/a od dnia zakupu</v>
      </c>
      <c r="D60" s="87">
        <v>42767</v>
      </c>
      <c r="E60" s="87">
        <v>42794</v>
      </c>
      <c r="F60" s="88">
        <v>100</v>
      </c>
      <c r="G60" s="120">
        <v>99.9</v>
      </c>
      <c r="H60" s="178">
        <v>33.1539</v>
      </c>
      <c r="I60" s="191">
        <v>17.4537</v>
      </c>
      <c r="J60" s="44">
        <v>0.022</v>
      </c>
      <c r="K60" s="44">
        <v>0.0181</v>
      </c>
      <c r="L60" s="44">
        <v>0.0181</v>
      </c>
      <c r="M60" s="44">
        <v>0.0178</v>
      </c>
      <c r="N60" s="44">
        <v>0.0179</v>
      </c>
      <c r="O60" s="44">
        <v>0.0179</v>
      </c>
      <c r="P60" s="46">
        <v>1.1</v>
      </c>
      <c r="Q60" s="46">
        <v>0.91</v>
      </c>
      <c r="R60" s="46">
        <v>0.91</v>
      </c>
      <c r="S60" s="46">
        <v>0.89</v>
      </c>
      <c r="T60" s="46">
        <v>0.9</v>
      </c>
      <c r="U60" s="46">
        <v>0.9</v>
      </c>
      <c r="V60" s="144">
        <v>1</v>
      </c>
    </row>
    <row r="61" spans="1:22" ht="12.75">
      <c r="A61" s="85" t="s">
        <v>1639</v>
      </c>
      <c r="B61" s="86" t="s">
        <v>1648</v>
      </c>
      <c r="C61" s="87" t="str">
        <f t="shared" si="0"/>
        <v>3 lat/a od dnia zakupu</v>
      </c>
      <c r="D61" s="87">
        <v>42795</v>
      </c>
      <c r="E61" s="87">
        <v>42825</v>
      </c>
      <c r="F61" s="88">
        <v>100</v>
      </c>
      <c r="G61" s="120">
        <v>99.9</v>
      </c>
      <c r="H61" s="178">
        <v>13.2306</v>
      </c>
      <c r="I61" s="191">
        <v>4.9693</v>
      </c>
      <c r="J61" s="44">
        <v>0.022</v>
      </c>
      <c r="K61" s="44">
        <v>0.0181</v>
      </c>
      <c r="L61" s="44">
        <v>0.0181</v>
      </c>
      <c r="M61" s="44">
        <v>0.0179</v>
      </c>
      <c r="N61" s="44">
        <v>0.0179</v>
      </c>
      <c r="O61" s="44">
        <v>0.0179</v>
      </c>
      <c r="P61" s="46">
        <v>1.1</v>
      </c>
      <c r="Q61" s="46">
        <v>0.91</v>
      </c>
      <c r="R61" s="46">
        <v>0.91</v>
      </c>
      <c r="S61" s="46">
        <v>0.9</v>
      </c>
      <c r="T61" s="46">
        <v>0.9</v>
      </c>
      <c r="U61" s="46">
        <v>0.9</v>
      </c>
      <c r="V61" s="144">
        <v>1</v>
      </c>
    </row>
    <row r="62" spans="1:22" ht="12.75">
      <c r="A62" s="85" t="s">
        <v>1640</v>
      </c>
      <c r="B62" s="86" t="s">
        <v>1649</v>
      </c>
      <c r="C62" s="87" t="str">
        <f t="shared" si="0"/>
        <v>3 lat/a od dnia zakupu</v>
      </c>
      <c r="D62" s="87">
        <v>42826</v>
      </c>
      <c r="E62" s="87">
        <v>42855</v>
      </c>
      <c r="F62" s="88">
        <v>100</v>
      </c>
      <c r="G62" s="120">
        <v>99.9</v>
      </c>
      <c r="H62" s="178">
        <v>13.8582</v>
      </c>
      <c r="I62" s="191">
        <v>3.8915</v>
      </c>
      <c r="J62" s="44">
        <v>0.022</v>
      </c>
      <c r="K62" s="44">
        <v>0.0181</v>
      </c>
      <c r="L62" s="44">
        <v>0.0178</v>
      </c>
      <c r="M62" s="44">
        <v>0.0179</v>
      </c>
      <c r="N62" s="44">
        <v>0.0179</v>
      </c>
      <c r="O62" s="44">
        <v>0.0179</v>
      </c>
      <c r="P62" s="46">
        <v>1.1</v>
      </c>
      <c r="Q62" s="46">
        <v>0.91</v>
      </c>
      <c r="R62" s="46">
        <v>0.89</v>
      </c>
      <c r="S62" s="46">
        <v>0.9</v>
      </c>
      <c r="T62" s="46">
        <v>0.9</v>
      </c>
      <c r="U62" s="46">
        <v>0.9</v>
      </c>
      <c r="V62" s="144">
        <v>1</v>
      </c>
    </row>
    <row r="63" spans="1:22" ht="12.75">
      <c r="A63" s="85" t="s">
        <v>1690</v>
      </c>
      <c r="B63" s="86" t="s">
        <v>1691</v>
      </c>
      <c r="C63" s="87" t="str">
        <f t="shared" si="0"/>
        <v>3 lat/a od dnia zakupu</v>
      </c>
      <c r="D63" s="87">
        <v>42856</v>
      </c>
      <c r="E63" s="87">
        <v>42886</v>
      </c>
      <c r="F63" s="88">
        <v>100</v>
      </c>
      <c r="G63" s="120">
        <v>99.9</v>
      </c>
      <c r="H63" s="178">
        <v>27.3167</v>
      </c>
      <c r="I63" s="191">
        <v>12.8497</v>
      </c>
      <c r="J63" s="44">
        <v>0.022</v>
      </c>
      <c r="K63" s="44">
        <v>0.0181</v>
      </c>
      <c r="L63" s="44">
        <v>0.0178</v>
      </c>
      <c r="M63" s="44">
        <v>0.0179</v>
      </c>
      <c r="N63" s="44">
        <v>0.0179</v>
      </c>
      <c r="O63" s="44">
        <v>0.0179</v>
      </c>
      <c r="P63" s="46">
        <v>1.1</v>
      </c>
      <c r="Q63" s="46">
        <v>0.91</v>
      </c>
      <c r="R63" s="46">
        <v>0.89</v>
      </c>
      <c r="S63" s="46">
        <v>0.9</v>
      </c>
      <c r="T63" s="46">
        <v>0.9</v>
      </c>
      <c r="U63" s="46">
        <v>0.9</v>
      </c>
      <c r="V63" s="144">
        <v>1</v>
      </c>
    </row>
    <row r="64" spans="1:22" ht="12.75">
      <c r="A64" s="85" t="s">
        <v>1702</v>
      </c>
      <c r="B64" s="86" t="s">
        <v>1703</v>
      </c>
      <c r="C64" s="87" t="str">
        <f t="shared" si="0"/>
        <v>3 lat/a od dnia zakupu</v>
      </c>
      <c r="D64" s="87">
        <v>42887</v>
      </c>
      <c r="E64" s="87">
        <v>42916</v>
      </c>
      <c r="F64" s="88">
        <v>100</v>
      </c>
      <c r="G64" s="120">
        <v>99.9</v>
      </c>
      <c r="H64" s="178">
        <v>12.0539</v>
      </c>
      <c r="I64" s="191">
        <v>3.3159</v>
      </c>
      <c r="J64" s="44">
        <v>0.022</v>
      </c>
      <c r="K64" s="44">
        <v>0.0181</v>
      </c>
      <c r="L64" s="44">
        <v>0.0178</v>
      </c>
      <c r="M64" s="44">
        <v>0.0179</v>
      </c>
      <c r="N64" s="44">
        <v>0.0179</v>
      </c>
      <c r="O64" s="44">
        <v>0.0179</v>
      </c>
      <c r="P64" s="46">
        <v>1.1</v>
      </c>
      <c r="Q64" s="46">
        <v>0.91</v>
      </c>
      <c r="R64" s="46">
        <v>0.89</v>
      </c>
      <c r="S64" s="46">
        <v>0.9</v>
      </c>
      <c r="T64" s="46">
        <v>0.9</v>
      </c>
      <c r="U64" s="46">
        <v>0.9</v>
      </c>
      <c r="V64" s="144">
        <v>1</v>
      </c>
    </row>
    <row r="65" spans="1:22" ht="12.75">
      <c r="A65" s="85" t="s">
        <v>1713</v>
      </c>
      <c r="B65" s="86" t="s">
        <v>1719</v>
      </c>
      <c r="C65" s="87" t="str">
        <f t="shared" si="0"/>
        <v>3 lat/a od dnia zakupu</v>
      </c>
      <c r="D65" s="87">
        <v>42917</v>
      </c>
      <c r="E65" s="87">
        <v>42947</v>
      </c>
      <c r="F65" s="88">
        <v>100</v>
      </c>
      <c r="G65" s="120">
        <v>99.9</v>
      </c>
      <c r="H65" s="178">
        <v>9.9228</v>
      </c>
      <c r="I65" s="191">
        <v>2.3791</v>
      </c>
      <c r="J65" s="44">
        <v>0.022</v>
      </c>
      <c r="K65" s="44">
        <v>0.0181</v>
      </c>
      <c r="L65" s="44">
        <v>0.0178</v>
      </c>
      <c r="M65" s="44">
        <v>0.0179</v>
      </c>
      <c r="N65" s="44">
        <v>0.0179</v>
      </c>
      <c r="O65" s="44">
        <v>0.0179</v>
      </c>
      <c r="P65" s="46">
        <v>1.1</v>
      </c>
      <c r="Q65" s="46">
        <v>0.91</v>
      </c>
      <c r="R65" s="46">
        <v>0.89</v>
      </c>
      <c r="S65" s="46">
        <v>0.9</v>
      </c>
      <c r="T65" s="46">
        <v>0.9</v>
      </c>
      <c r="U65" s="46">
        <v>0.9</v>
      </c>
      <c r="V65" s="144">
        <v>1</v>
      </c>
    </row>
    <row r="66" spans="1:22" ht="12.75">
      <c r="A66" s="85" t="s">
        <v>1726</v>
      </c>
      <c r="B66" s="86" t="s">
        <v>1727</v>
      </c>
      <c r="C66" s="87" t="str">
        <f t="shared" si="0"/>
        <v>3 lat/a od dnia zakupu</v>
      </c>
      <c r="D66" s="87">
        <v>42948</v>
      </c>
      <c r="E66" s="87">
        <v>42978</v>
      </c>
      <c r="F66" s="88">
        <v>100</v>
      </c>
      <c r="G66" s="120">
        <v>99.9</v>
      </c>
      <c r="H66" s="178">
        <v>24.2847</v>
      </c>
      <c r="I66" s="191">
        <v>14.8435</v>
      </c>
      <c r="J66" s="44">
        <v>0.022</v>
      </c>
      <c r="K66" s="44">
        <v>0.0181</v>
      </c>
      <c r="L66" s="44">
        <v>0.0178</v>
      </c>
      <c r="M66" s="44">
        <v>0.0179</v>
      </c>
      <c r="N66" s="44">
        <v>0.0179</v>
      </c>
      <c r="O66" s="44">
        <v>0.0179</v>
      </c>
      <c r="P66" s="46">
        <v>1.1</v>
      </c>
      <c r="Q66" s="46">
        <v>0.91</v>
      </c>
      <c r="R66" s="46">
        <v>0.89</v>
      </c>
      <c r="S66" s="46">
        <v>0.9</v>
      </c>
      <c r="T66" s="46">
        <v>0.9</v>
      </c>
      <c r="U66" s="46">
        <v>0.9</v>
      </c>
      <c r="V66" s="144">
        <v>1</v>
      </c>
    </row>
    <row r="67" spans="1:22" ht="12.75">
      <c r="A67" s="85" t="s">
        <v>1738</v>
      </c>
      <c r="B67" s="86" t="s">
        <v>1739</v>
      </c>
      <c r="C67" s="87" t="str">
        <f t="shared" si="0"/>
        <v>3 lat/a od dnia zakupu</v>
      </c>
      <c r="D67" s="87">
        <v>42979</v>
      </c>
      <c r="E67" s="87">
        <v>43008</v>
      </c>
      <c r="F67" s="88">
        <v>100</v>
      </c>
      <c r="G67" s="120">
        <v>99.9</v>
      </c>
      <c r="H67" s="178">
        <v>13.7714</v>
      </c>
      <c r="I67" s="191">
        <v>4.0088</v>
      </c>
      <c r="J67" s="44">
        <v>0.022</v>
      </c>
      <c r="K67" s="44">
        <v>0.0181</v>
      </c>
      <c r="L67" s="44">
        <v>0.0179</v>
      </c>
      <c r="M67" s="44">
        <v>0.0179</v>
      </c>
      <c r="N67" s="44">
        <v>0.0179</v>
      </c>
      <c r="O67" s="44">
        <v>0.0179</v>
      </c>
      <c r="P67" s="46">
        <v>1.1</v>
      </c>
      <c r="Q67" s="46">
        <v>0.91</v>
      </c>
      <c r="R67" s="46">
        <v>0.9</v>
      </c>
      <c r="S67" s="46">
        <v>0.9</v>
      </c>
      <c r="T67" s="46">
        <v>0.9</v>
      </c>
      <c r="U67" s="46">
        <v>0.9</v>
      </c>
      <c r="V67" s="144">
        <v>1</v>
      </c>
    </row>
    <row r="68" spans="1:22" ht="12.75">
      <c r="A68" s="85" t="s">
        <v>1754</v>
      </c>
      <c r="B68" s="86" t="s">
        <v>1755</v>
      </c>
      <c r="C68" s="87" t="str">
        <f t="shared" si="0"/>
        <v>3 lat/a od dnia zakupu</v>
      </c>
      <c r="D68" s="87">
        <v>43009</v>
      </c>
      <c r="E68" s="87">
        <v>43039</v>
      </c>
      <c r="F68" s="88">
        <v>100</v>
      </c>
      <c r="G68" s="120">
        <v>99.9</v>
      </c>
      <c r="H68" s="178">
        <v>12.3406</v>
      </c>
      <c r="I68" s="191">
        <v>2.6378</v>
      </c>
      <c r="J68" s="44">
        <v>0.022</v>
      </c>
      <c r="K68" s="44">
        <v>0.0178</v>
      </c>
      <c r="L68" s="44">
        <v>0.0179</v>
      </c>
      <c r="M68" s="44">
        <v>0.0179</v>
      </c>
      <c r="N68" s="44">
        <v>0.0179</v>
      </c>
      <c r="O68" s="44">
        <v>0.0127</v>
      </c>
      <c r="P68" s="46">
        <v>1.1</v>
      </c>
      <c r="Q68" s="46">
        <v>0.89</v>
      </c>
      <c r="R68" s="46">
        <v>0.9</v>
      </c>
      <c r="S68" s="46">
        <v>0.9</v>
      </c>
      <c r="T68" s="46">
        <v>0.9</v>
      </c>
      <c r="U68" s="46">
        <v>0.64</v>
      </c>
      <c r="V68" s="144">
        <v>1</v>
      </c>
    </row>
    <row r="69" spans="1:22" ht="12.75">
      <c r="A69" s="85" t="s">
        <v>1768</v>
      </c>
      <c r="B69" s="86" t="s">
        <v>1769</v>
      </c>
      <c r="C69" s="87" t="str">
        <f t="shared" si="0"/>
        <v>3 lat/a od dnia zakupu</v>
      </c>
      <c r="D69" s="87">
        <v>43040</v>
      </c>
      <c r="E69" s="87">
        <v>43069</v>
      </c>
      <c r="F69" s="88">
        <v>100</v>
      </c>
      <c r="G69" s="120">
        <v>99.9</v>
      </c>
      <c r="H69" s="178">
        <v>22.7589</v>
      </c>
      <c r="I69" s="191">
        <v>12.0894</v>
      </c>
      <c r="J69" s="44">
        <v>0.022</v>
      </c>
      <c r="K69" s="44">
        <v>0.0178</v>
      </c>
      <c r="L69" s="44">
        <v>0.0179</v>
      </c>
      <c r="M69" s="44">
        <v>0.0179</v>
      </c>
      <c r="N69" s="44">
        <v>0.0179</v>
      </c>
      <c r="O69" s="44">
        <v>0.0071</v>
      </c>
      <c r="P69" s="46">
        <v>1.1</v>
      </c>
      <c r="Q69" s="46">
        <v>0.89</v>
      </c>
      <c r="R69" s="46">
        <v>0.9</v>
      </c>
      <c r="S69" s="46">
        <v>0.9</v>
      </c>
      <c r="T69" s="46">
        <v>0.9</v>
      </c>
      <c r="U69" s="46">
        <v>0.36</v>
      </c>
      <c r="V69" s="144">
        <v>1</v>
      </c>
    </row>
    <row r="70" spans="1:22" ht="12.75">
      <c r="A70" s="90" t="s">
        <v>1782</v>
      </c>
      <c r="B70" s="91" t="s">
        <v>1783</v>
      </c>
      <c r="C70" s="146" t="str">
        <f t="shared" si="0"/>
        <v>3 lat/a od dnia zakupu</v>
      </c>
      <c r="D70" s="146">
        <v>43070</v>
      </c>
      <c r="E70" s="146">
        <v>43100</v>
      </c>
      <c r="F70" s="267">
        <v>100</v>
      </c>
      <c r="G70" s="268">
        <v>99.9</v>
      </c>
      <c r="H70" s="269">
        <v>12.8948</v>
      </c>
      <c r="I70" s="270">
        <v>4.5629</v>
      </c>
      <c r="J70" s="47">
        <v>0.022</v>
      </c>
      <c r="K70" s="47">
        <v>0.0178</v>
      </c>
      <c r="L70" s="47">
        <v>0.0179</v>
      </c>
      <c r="M70" s="47">
        <v>0.0179</v>
      </c>
      <c r="N70" s="47">
        <v>0.0179</v>
      </c>
      <c r="O70" s="47">
        <v>0.0069</v>
      </c>
      <c r="P70" s="42">
        <v>1.1</v>
      </c>
      <c r="Q70" s="42">
        <v>0.89</v>
      </c>
      <c r="R70" s="42">
        <v>0.9</v>
      </c>
      <c r="S70" s="42">
        <v>0.9</v>
      </c>
      <c r="T70" s="42">
        <v>0.9</v>
      </c>
      <c r="U70" s="42">
        <v>0.35</v>
      </c>
      <c r="V70" s="149">
        <v>1</v>
      </c>
    </row>
    <row r="71" spans="1:22" s="7" customFormat="1" ht="12.75">
      <c r="A71" s="85" t="s">
        <v>1794</v>
      </c>
      <c r="B71" s="86" t="s">
        <v>1801</v>
      </c>
      <c r="C71" s="141" t="str">
        <f t="shared" si="0"/>
        <v>3 lat/a od dnia zakupu</v>
      </c>
      <c r="D71" s="141">
        <v>43101</v>
      </c>
      <c r="E71" s="141">
        <v>43131</v>
      </c>
      <c r="F71" s="271">
        <v>100</v>
      </c>
      <c r="G71" s="272">
        <v>99.9</v>
      </c>
      <c r="H71" s="273">
        <v>14.4649</v>
      </c>
      <c r="I71" s="274">
        <v>3.9365</v>
      </c>
      <c r="J71" s="44">
        <v>0.022</v>
      </c>
      <c r="K71" s="44">
        <v>0.0178</v>
      </c>
      <c r="L71" s="44">
        <v>0.0179</v>
      </c>
      <c r="M71" s="44">
        <v>0.0179</v>
      </c>
      <c r="N71" s="44">
        <v>0.0179</v>
      </c>
      <c r="O71" s="44">
        <v>0.0029</v>
      </c>
      <c r="P71" s="46">
        <v>1.1</v>
      </c>
      <c r="Q71" s="46">
        <v>0.89</v>
      </c>
      <c r="R71" s="46">
        <v>0.9</v>
      </c>
      <c r="S71" s="46">
        <v>0.9</v>
      </c>
      <c r="T71" s="46">
        <v>0.9</v>
      </c>
      <c r="U71" s="46">
        <v>0.15</v>
      </c>
      <c r="V71" s="144">
        <v>1</v>
      </c>
    </row>
    <row r="72" spans="1:22" s="7" customFormat="1" ht="12.75">
      <c r="A72" s="85" t="s">
        <v>1808</v>
      </c>
      <c r="B72" s="86" t="s">
        <v>1815</v>
      </c>
      <c r="C72" s="141" t="str">
        <f t="shared" si="0"/>
        <v>3 lat/a od dnia zakupu</v>
      </c>
      <c r="D72" s="141">
        <v>43132</v>
      </c>
      <c r="E72" s="141">
        <v>43159</v>
      </c>
      <c r="F72" s="271">
        <v>100</v>
      </c>
      <c r="G72" s="272">
        <v>99.9</v>
      </c>
      <c r="H72" s="273">
        <v>20.5211</v>
      </c>
      <c r="I72" s="274">
        <v>10.4902</v>
      </c>
      <c r="J72" s="44">
        <v>0.022</v>
      </c>
      <c r="K72" s="44">
        <v>0.0178</v>
      </c>
      <c r="L72" s="44">
        <v>0.0179</v>
      </c>
      <c r="M72" s="44">
        <v>0.0179</v>
      </c>
      <c r="N72" s="44">
        <v>0.0179</v>
      </c>
      <c r="O72" s="44">
        <v>0.0028</v>
      </c>
      <c r="P72" s="46">
        <v>1.1</v>
      </c>
      <c r="Q72" s="46">
        <v>0.89</v>
      </c>
      <c r="R72" s="46">
        <v>0.9</v>
      </c>
      <c r="S72" s="46">
        <v>0.9</v>
      </c>
      <c r="T72" s="46">
        <v>0.9</v>
      </c>
      <c r="U72" s="46">
        <v>0.14</v>
      </c>
      <c r="V72" s="144">
        <v>1</v>
      </c>
    </row>
    <row r="73" spans="1:22" s="7" customFormat="1" ht="12.75">
      <c r="A73" s="85" t="s">
        <v>1824</v>
      </c>
      <c r="B73" s="86" t="s">
        <v>1825</v>
      </c>
      <c r="C73" s="141" t="str">
        <f t="shared" si="0"/>
        <v>3 lat/a od dnia zakupu</v>
      </c>
      <c r="D73" s="141">
        <v>43160</v>
      </c>
      <c r="E73" s="141">
        <v>43190</v>
      </c>
      <c r="F73" s="271">
        <v>100</v>
      </c>
      <c r="G73" s="272">
        <v>99.9</v>
      </c>
      <c r="H73" s="273">
        <v>11.0204</v>
      </c>
      <c r="I73" s="274">
        <v>5.3609</v>
      </c>
      <c r="J73" s="44">
        <v>0.022</v>
      </c>
      <c r="K73" s="44">
        <v>0.0179</v>
      </c>
      <c r="L73" s="44">
        <v>0.0179</v>
      </c>
      <c r="M73" s="44">
        <v>0.0179</v>
      </c>
      <c r="N73" s="44">
        <v>0.0179</v>
      </c>
      <c r="O73" s="44">
        <v>0.0027</v>
      </c>
      <c r="P73" s="46">
        <v>1.1</v>
      </c>
      <c r="Q73" s="46">
        <v>0.9</v>
      </c>
      <c r="R73" s="46">
        <v>0.9</v>
      </c>
      <c r="S73" s="46">
        <v>0.9</v>
      </c>
      <c r="T73" s="46">
        <v>0.9</v>
      </c>
      <c r="U73" s="46">
        <v>0.14</v>
      </c>
      <c r="V73" s="144">
        <v>1</v>
      </c>
    </row>
    <row r="74" spans="1:22" s="7" customFormat="1" ht="12.75">
      <c r="A74" s="85" t="s">
        <v>1838</v>
      </c>
      <c r="B74" s="86" t="s">
        <v>1839</v>
      </c>
      <c r="C74" s="141" t="str">
        <f t="shared" si="0"/>
        <v>3 lat/a od dnia zakupu</v>
      </c>
      <c r="D74" s="141">
        <v>43191</v>
      </c>
      <c r="E74" s="141">
        <v>43220</v>
      </c>
      <c r="F74" s="271">
        <v>100</v>
      </c>
      <c r="G74" s="272">
        <v>99.9</v>
      </c>
      <c r="H74" s="273">
        <v>7.3996</v>
      </c>
      <c r="I74" s="274">
        <v>1.5763</v>
      </c>
      <c r="J74" s="44">
        <v>0.022</v>
      </c>
      <c r="K74" s="44">
        <v>0.0179</v>
      </c>
      <c r="L74" s="44">
        <v>0.0179</v>
      </c>
      <c r="M74" s="44">
        <v>0.0179</v>
      </c>
      <c r="N74" s="44">
        <v>0.0127</v>
      </c>
      <c r="O74" s="44">
        <v>0.0026</v>
      </c>
      <c r="P74" s="46">
        <v>1.1</v>
      </c>
      <c r="Q74" s="46">
        <v>0.9</v>
      </c>
      <c r="R74" s="46">
        <v>0.9</v>
      </c>
      <c r="S74" s="46">
        <v>0.9</v>
      </c>
      <c r="T74" s="46">
        <v>0.64</v>
      </c>
      <c r="U74" s="46">
        <v>0.13</v>
      </c>
      <c r="V74" s="144">
        <v>1</v>
      </c>
    </row>
    <row r="75" spans="1:22" s="7" customFormat="1" ht="12.75">
      <c r="A75" s="85" t="s">
        <v>1852</v>
      </c>
      <c r="B75" s="86" t="s">
        <v>1861</v>
      </c>
      <c r="C75" s="141" t="str">
        <f t="shared" si="0"/>
        <v>3 lat/a od dnia zakupu</v>
      </c>
      <c r="D75" s="141">
        <v>43221</v>
      </c>
      <c r="E75" s="141">
        <v>43251</v>
      </c>
      <c r="F75" s="271">
        <v>100</v>
      </c>
      <c r="G75" s="272">
        <v>99.9</v>
      </c>
      <c r="H75" s="273">
        <v>12.5775</v>
      </c>
      <c r="I75" s="274">
        <v>5.4599</v>
      </c>
      <c r="J75" s="44">
        <v>0.022</v>
      </c>
      <c r="K75" s="44">
        <v>0.0179</v>
      </c>
      <c r="L75" s="44">
        <v>0.0179</v>
      </c>
      <c r="M75" s="44">
        <v>0.0179</v>
      </c>
      <c r="N75" s="44">
        <v>0.0071</v>
      </c>
      <c r="O75" s="44">
        <v>0.0025</v>
      </c>
      <c r="P75" s="46">
        <v>1.1</v>
      </c>
      <c r="Q75" s="46">
        <v>0.9</v>
      </c>
      <c r="R75" s="46">
        <v>0.9</v>
      </c>
      <c r="S75" s="46">
        <v>0.9</v>
      </c>
      <c r="T75" s="46">
        <v>0.36</v>
      </c>
      <c r="U75" s="46">
        <v>0.13</v>
      </c>
      <c r="V75" s="144">
        <v>1</v>
      </c>
    </row>
    <row r="76" spans="1:22" s="7" customFormat="1" ht="12.75">
      <c r="A76" s="85" t="s">
        <v>1870</v>
      </c>
      <c r="B76" s="86" t="s">
        <v>1872</v>
      </c>
      <c r="C76" s="141" t="str">
        <f t="shared" si="0"/>
        <v>3 lat/a od dnia zakupu</v>
      </c>
      <c r="D76" s="141">
        <v>43252</v>
      </c>
      <c r="E76" s="141">
        <v>43281</v>
      </c>
      <c r="F76" s="271">
        <v>100</v>
      </c>
      <c r="G76" s="272">
        <v>99.9</v>
      </c>
      <c r="H76" s="273">
        <v>14.0608</v>
      </c>
      <c r="I76" s="274">
        <v>5.6075</v>
      </c>
      <c r="J76" s="44">
        <v>0.022</v>
      </c>
      <c r="K76" s="44">
        <v>0.0179</v>
      </c>
      <c r="L76" s="44">
        <v>0.0179</v>
      </c>
      <c r="M76" s="44">
        <v>0.0179</v>
      </c>
      <c r="N76" s="44">
        <v>0.0069</v>
      </c>
      <c r="O76" s="44">
        <v>0.0025</v>
      </c>
      <c r="P76" s="46">
        <v>1.1</v>
      </c>
      <c r="Q76" s="46">
        <v>0.9</v>
      </c>
      <c r="R76" s="46">
        <v>0.9</v>
      </c>
      <c r="S76" s="46">
        <v>0.9</v>
      </c>
      <c r="T76" s="46">
        <v>0.35</v>
      </c>
      <c r="U76" s="46">
        <v>0.13</v>
      </c>
      <c r="V76" s="144">
        <v>1</v>
      </c>
    </row>
    <row r="77" spans="1:22" s="7" customFormat="1" ht="12.75">
      <c r="A77" s="85" t="s">
        <v>1887</v>
      </c>
      <c r="B77" s="86" t="s">
        <v>1888</v>
      </c>
      <c r="C77" s="141" t="str">
        <f t="shared" si="0"/>
        <v>3 lat/a od dnia zakupu</v>
      </c>
      <c r="D77" s="141">
        <v>43282</v>
      </c>
      <c r="E77" s="141">
        <v>43312</v>
      </c>
      <c r="F77" s="271">
        <v>100</v>
      </c>
      <c r="G77" s="272">
        <v>99.9</v>
      </c>
      <c r="H77" s="273">
        <v>12.1694</v>
      </c>
      <c r="I77" s="274">
        <v>4.1223</v>
      </c>
      <c r="J77" s="44">
        <v>0.022</v>
      </c>
      <c r="K77" s="44">
        <v>0.0179</v>
      </c>
      <c r="L77" s="44">
        <v>0.0179</v>
      </c>
      <c r="M77" s="44">
        <v>0.0179</v>
      </c>
      <c r="N77" s="44">
        <v>0.0029</v>
      </c>
      <c r="O77" s="44">
        <v>0.0025</v>
      </c>
      <c r="P77" s="46">
        <v>1.1</v>
      </c>
      <c r="Q77" s="46">
        <v>0.9</v>
      </c>
      <c r="R77" s="46">
        <v>0.9</v>
      </c>
      <c r="S77" s="46">
        <v>0.9</v>
      </c>
      <c r="T77" s="46">
        <v>0.15</v>
      </c>
      <c r="U77" s="46">
        <v>0.13</v>
      </c>
      <c r="V77" s="144">
        <v>1</v>
      </c>
    </row>
    <row r="78" spans="1:22" s="7" customFormat="1" ht="12.75">
      <c r="A78" s="85" t="s">
        <v>1901</v>
      </c>
      <c r="B78" s="86" t="s">
        <v>1902</v>
      </c>
      <c r="C78" s="141" t="str">
        <f t="shared" si="0"/>
        <v>3 lat/a od dnia zakupu</v>
      </c>
      <c r="D78" s="141">
        <v>43313</v>
      </c>
      <c r="E78" s="141">
        <v>43343</v>
      </c>
      <c r="F78" s="271">
        <v>100</v>
      </c>
      <c r="G78" s="272">
        <v>99.9</v>
      </c>
      <c r="H78" s="273">
        <v>18.0349</v>
      </c>
      <c r="I78" s="274">
        <v>9.3177</v>
      </c>
      <c r="J78" s="44">
        <v>0.022</v>
      </c>
      <c r="K78" s="44">
        <v>0.0179</v>
      </c>
      <c r="L78" s="44">
        <v>0.0179</v>
      </c>
      <c r="M78" s="44">
        <v>0.0179</v>
      </c>
      <c r="N78" s="44">
        <v>0.0028</v>
      </c>
      <c r="O78" s="44">
        <v>0.0025</v>
      </c>
      <c r="P78" s="46">
        <v>1.1</v>
      </c>
      <c r="Q78" s="46">
        <v>0.9</v>
      </c>
      <c r="R78" s="46">
        <v>0.9</v>
      </c>
      <c r="S78" s="46">
        <v>0.9</v>
      </c>
      <c r="T78" s="46">
        <v>0.14</v>
      </c>
      <c r="U78" s="46">
        <v>0.13</v>
      </c>
      <c r="V78" s="144">
        <v>1</v>
      </c>
    </row>
    <row r="79" spans="1:22" s="7" customFormat="1" ht="12.75">
      <c r="A79" s="85" t="s">
        <v>1915</v>
      </c>
      <c r="B79" s="86" t="s">
        <v>1916</v>
      </c>
      <c r="C79" s="141" t="str">
        <f t="shared" si="0"/>
        <v>3 lat/a od dnia zakupu</v>
      </c>
      <c r="D79" s="141">
        <v>43344</v>
      </c>
      <c r="E79" s="141">
        <v>43373</v>
      </c>
      <c r="F79" s="271">
        <v>100</v>
      </c>
      <c r="G79" s="272">
        <v>99.9</v>
      </c>
      <c r="H79" s="273">
        <v>15.8117</v>
      </c>
      <c r="I79" s="274">
        <v>6.4312</v>
      </c>
      <c r="J79" s="44">
        <v>0.022</v>
      </c>
      <c r="K79" s="44">
        <v>0.0179</v>
      </c>
      <c r="L79" s="44">
        <v>0.0179</v>
      </c>
      <c r="M79" s="44">
        <v>0.0179</v>
      </c>
      <c r="N79" s="44">
        <v>0.0027</v>
      </c>
      <c r="O79" s="44">
        <v>0.0025</v>
      </c>
      <c r="P79" s="46">
        <v>1.1</v>
      </c>
      <c r="Q79" s="46">
        <v>0.9</v>
      </c>
      <c r="R79" s="46">
        <v>0.9</v>
      </c>
      <c r="S79" s="46">
        <v>0.9</v>
      </c>
      <c r="T79" s="46">
        <v>0.14</v>
      </c>
      <c r="U79" s="46">
        <v>0.13</v>
      </c>
      <c r="V79" s="144">
        <v>1</v>
      </c>
    </row>
    <row r="80" spans="1:22" s="7" customFormat="1" ht="12.75">
      <c r="A80" s="85" t="s">
        <v>1929</v>
      </c>
      <c r="B80" s="86" t="s">
        <v>1930</v>
      </c>
      <c r="C80" s="141" t="str">
        <f t="shared" si="0"/>
        <v>3 lat/a od dnia zakupu</v>
      </c>
      <c r="D80" s="141">
        <v>43374</v>
      </c>
      <c r="E80" s="141">
        <v>43404</v>
      </c>
      <c r="F80" s="271">
        <v>100</v>
      </c>
      <c r="G80" s="272">
        <v>99.7</v>
      </c>
      <c r="H80" s="273">
        <v>12.0841</v>
      </c>
      <c r="I80" s="274">
        <v>4.521</v>
      </c>
      <c r="J80" s="44">
        <v>0.022</v>
      </c>
      <c r="K80" s="44">
        <v>0.0179</v>
      </c>
      <c r="L80" s="44">
        <v>0.0179</v>
      </c>
      <c r="M80" s="44">
        <v>0.0127</v>
      </c>
      <c r="N80" s="44">
        <v>0.0026</v>
      </c>
      <c r="O80" s="44">
        <v>0.0025</v>
      </c>
      <c r="P80" s="46">
        <v>1.1</v>
      </c>
      <c r="Q80" s="46">
        <v>0.9</v>
      </c>
      <c r="R80" s="46">
        <v>0.9</v>
      </c>
      <c r="S80" s="46">
        <v>0.64</v>
      </c>
      <c r="T80" s="46">
        <v>0.13</v>
      </c>
      <c r="U80" s="46">
        <v>0.13</v>
      </c>
      <c r="V80" s="144">
        <v>1</v>
      </c>
    </row>
    <row r="81" spans="1:22" s="7" customFormat="1" ht="12.75">
      <c r="A81" s="85" t="s">
        <v>1943</v>
      </c>
      <c r="B81" s="86" t="s">
        <v>1944</v>
      </c>
      <c r="C81" s="141" t="str">
        <f t="shared" si="0"/>
        <v>3 lat/a od dnia zakupu</v>
      </c>
      <c r="D81" s="141">
        <v>43405</v>
      </c>
      <c r="E81" s="141">
        <v>43434</v>
      </c>
      <c r="F81" s="271">
        <v>100</v>
      </c>
      <c r="G81" s="272">
        <v>99.9</v>
      </c>
      <c r="H81" s="273">
        <v>18.601</v>
      </c>
      <c r="I81" s="274">
        <v>9.3313</v>
      </c>
      <c r="J81" s="44">
        <v>0.022</v>
      </c>
      <c r="K81" s="44">
        <v>0.0179</v>
      </c>
      <c r="L81" s="44">
        <v>0.0179</v>
      </c>
      <c r="M81" s="44">
        <v>0.0071</v>
      </c>
      <c r="N81" s="44">
        <v>0.0025</v>
      </c>
      <c r="O81" s="44">
        <v>0.0024</v>
      </c>
      <c r="P81" s="46">
        <v>1.1</v>
      </c>
      <c r="Q81" s="46">
        <v>0.9</v>
      </c>
      <c r="R81" s="46">
        <v>0.9</v>
      </c>
      <c r="S81" s="46">
        <v>0.36</v>
      </c>
      <c r="T81" s="46">
        <v>0.13</v>
      </c>
      <c r="U81" s="46">
        <v>0.12</v>
      </c>
      <c r="V81" s="144">
        <v>1</v>
      </c>
    </row>
    <row r="82" spans="1:22" ht="12.75">
      <c r="A82" s="90" t="s">
        <v>1957</v>
      </c>
      <c r="B82" s="91" t="s">
        <v>1958</v>
      </c>
      <c r="C82" s="146" t="str">
        <f t="shared" si="0"/>
        <v>3 lat/a od dnia zakupu</v>
      </c>
      <c r="D82" s="146">
        <v>43435</v>
      </c>
      <c r="E82" s="146">
        <v>43465</v>
      </c>
      <c r="F82" s="267">
        <v>100</v>
      </c>
      <c r="G82" s="268">
        <v>99.9</v>
      </c>
      <c r="H82" s="269">
        <v>12.1654</v>
      </c>
      <c r="I82" s="270">
        <v>3.1908</v>
      </c>
      <c r="J82" s="47">
        <v>0.022</v>
      </c>
      <c r="K82" s="47">
        <v>0.0179</v>
      </c>
      <c r="L82" s="47">
        <v>0.0179</v>
      </c>
      <c r="M82" s="47">
        <v>0.0069</v>
      </c>
      <c r="N82" s="47">
        <v>0.0025</v>
      </c>
      <c r="O82" s="47">
        <v>0.0025</v>
      </c>
      <c r="P82" s="42">
        <v>1.1</v>
      </c>
      <c r="Q82" s="42">
        <v>0.9</v>
      </c>
      <c r="R82" s="42">
        <v>0.9</v>
      </c>
      <c r="S82" s="42">
        <v>0.35</v>
      </c>
      <c r="T82" s="42">
        <v>0.13</v>
      </c>
      <c r="U82" s="42">
        <v>0.13</v>
      </c>
      <c r="V82" s="149">
        <v>1</v>
      </c>
    </row>
    <row r="83" spans="1:22" ht="12.75">
      <c r="A83" s="113" t="s">
        <v>1971</v>
      </c>
      <c r="B83" s="114" t="s">
        <v>1972</v>
      </c>
      <c r="C83" s="151" t="str">
        <f t="shared" si="0"/>
        <v>3 lat/a od dnia zakupu</v>
      </c>
      <c r="D83" s="151">
        <v>43466</v>
      </c>
      <c r="E83" s="151">
        <v>43496</v>
      </c>
      <c r="F83" s="275">
        <v>100</v>
      </c>
      <c r="G83" s="276">
        <v>99.9</v>
      </c>
      <c r="H83" s="277">
        <v>11.8574</v>
      </c>
      <c r="I83" s="278">
        <v>4.0797</v>
      </c>
      <c r="J83" s="48">
        <v>0.022</v>
      </c>
      <c r="K83" s="48">
        <v>0.0179</v>
      </c>
      <c r="L83" s="48">
        <v>0.0179</v>
      </c>
      <c r="M83" s="48">
        <v>0.0029</v>
      </c>
      <c r="N83" s="48">
        <v>0.0025</v>
      </c>
      <c r="O83" s="48">
        <v>0.0025</v>
      </c>
      <c r="P83" s="49">
        <v>1.1</v>
      </c>
      <c r="Q83" s="49">
        <v>0.9</v>
      </c>
      <c r="R83" s="49">
        <v>0.9</v>
      </c>
      <c r="S83" s="49">
        <v>0.15</v>
      </c>
      <c r="T83" s="49">
        <v>0.13</v>
      </c>
      <c r="U83" s="49">
        <v>0.13</v>
      </c>
      <c r="V83" s="154">
        <v>1</v>
      </c>
    </row>
    <row r="84" spans="1:22" ht="12.75">
      <c r="A84" s="85" t="s">
        <v>1985</v>
      </c>
      <c r="B84" s="86" t="s">
        <v>1986</v>
      </c>
      <c r="C84" s="141" t="str">
        <f t="shared" si="0"/>
        <v>3 lat/a od dnia zakupu</v>
      </c>
      <c r="D84" s="141">
        <v>43497</v>
      </c>
      <c r="E84" s="141">
        <v>43524</v>
      </c>
      <c r="F84" s="271">
        <v>100</v>
      </c>
      <c r="G84" s="272">
        <v>99.9</v>
      </c>
      <c r="H84" s="273">
        <v>14.1197</v>
      </c>
      <c r="I84" s="274">
        <v>7.0202</v>
      </c>
      <c r="J84" s="44">
        <v>0.022</v>
      </c>
      <c r="K84" s="44">
        <v>0.0179</v>
      </c>
      <c r="L84" s="44">
        <v>0.0179</v>
      </c>
      <c r="M84" s="44">
        <v>0.0028</v>
      </c>
      <c r="N84" s="44">
        <v>0.0025</v>
      </c>
      <c r="O84" s="44">
        <v>0.0025</v>
      </c>
      <c r="P84" s="46">
        <v>1.1</v>
      </c>
      <c r="Q84" s="46">
        <v>0.9</v>
      </c>
      <c r="R84" s="46">
        <v>0.9</v>
      </c>
      <c r="S84" s="46">
        <v>0.14</v>
      </c>
      <c r="T84" s="46">
        <v>0.13</v>
      </c>
      <c r="U84" s="46">
        <v>0.13</v>
      </c>
      <c r="V84" s="144">
        <v>1</v>
      </c>
    </row>
    <row r="85" spans="1:22" ht="12.75">
      <c r="A85" s="85" t="s">
        <v>1999</v>
      </c>
      <c r="B85" s="86" t="s">
        <v>2000</v>
      </c>
      <c r="C85" s="141" t="s">
        <v>2018</v>
      </c>
      <c r="D85" s="141">
        <v>43525</v>
      </c>
      <c r="E85" s="141">
        <v>43555</v>
      </c>
      <c r="F85" s="271">
        <v>100</v>
      </c>
      <c r="G85" s="272">
        <v>99.9</v>
      </c>
      <c r="H85" s="273">
        <v>12.206</v>
      </c>
      <c r="I85" s="274">
        <v>5.459</v>
      </c>
      <c r="J85" s="44">
        <v>0.022</v>
      </c>
      <c r="K85" s="44">
        <v>0.0179</v>
      </c>
      <c r="L85" s="44">
        <v>0.0179</v>
      </c>
      <c r="M85" s="44">
        <v>0.0027</v>
      </c>
      <c r="N85" s="44">
        <v>0.0025</v>
      </c>
      <c r="O85" s="44">
        <v>0.0025</v>
      </c>
      <c r="P85" s="46">
        <v>1.1</v>
      </c>
      <c r="Q85" s="46">
        <v>0.9</v>
      </c>
      <c r="R85" s="46">
        <v>0.9</v>
      </c>
      <c r="S85" s="46">
        <v>0.14</v>
      </c>
      <c r="T85" s="46">
        <v>0.13</v>
      </c>
      <c r="U85" s="46">
        <v>0.13</v>
      </c>
      <c r="V85" s="144">
        <v>1</v>
      </c>
    </row>
    <row r="86" spans="1:22" ht="12.75">
      <c r="A86" s="85" t="s">
        <v>2019</v>
      </c>
      <c r="B86" s="86" t="s">
        <v>2020</v>
      </c>
      <c r="C86" s="141" t="str">
        <f t="shared" si="0"/>
        <v>3 lat/a od dnia zakupu</v>
      </c>
      <c r="D86" s="141">
        <v>43556</v>
      </c>
      <c r="E86" s="141">
        <v>43585</v>
      </c>
      <c r="F86" s="271">
        <v>100</v>
      </c>
      <c r="G86" s="272">
        <v>99.7</v>
      </c>
      <c r="H86" s="273">
        <v>12.3733</v>
      </c>
      <c r="I86" s="274">
        <v>4.8266</v>
      </c>
      <c r="J86" s="44">
        <v>0.022</v>
      </c>
      <c r="K86" s="44">
        <v>0.0179</v>
      </c>
      <c r="L86" s="44">
        <v>0.0127</v>
      </c>
      <c r="M86" s="44">
        <v>0.0026</v>
      </c>
      <c r="N86" s="44">
        <v>0.0025</v>
      </c>
      <c r="O86" s="44">
        <v>0.0029</v>
      </c>
      <c r="P86" s="46">
        <v>1.1</v>
      </c>
      <c r="Q86" s="46">
        <v>0.9</v>
      </c>
      <c r="R86" s="46">
        <v>0.64</v>
      </c>
      <c r="S86" s="46">
        <v>0.13</v>
      </c>
      <c r="T86" s="46">
        <v>0.13</v>
      </c>
      <c r="U86" s="46">
        <v>0.15</v>
      </c>
      <c r="V86" s="144">
        <v>1</v>
      </c>
    </row>
    <row r="87" spans="1:22" ht="12.75">
      <c r="A87" s="85" t="s">
        <v>2034</v>
      </c>
      <c r="B87" s="86" t="s">
        <v>2035</v>
      </c>
      <c r="C87" s="141" t="str">
        <f t="shared" si="0"/>
        <v>3 lat/a od dnia zakupu</v>
      </c>
      <c r="D87" s="141">
        <v>43586</v>
      </c>
      <c r="E87" s="141">
        <v>43616</v>
      </c>
      <c r="F87" s="271">
        <v>100</v>
      </c>
      <c r="G87" s="272">
        <v>99.9</v>
      </c>
      <c r="H87" s="273">
        <v>20.3265</v>
      </c>
      <c r="I87" s="274">
        <v>5.9788</v>
      </c>
      <c r="J87" s="44">
        <v>0.022</v>
      </c>
      <c r="K87" s="44">
        <v>0.0179</v>
      </c>
      <c r="L87" s="44">
        <v>0.0071</v>
      </c>
      <c r="M87" s="44">
        <v>0.0025</v>
      </c>
      <c r="N87" s="44">
        <v>0.0024</v>
      </c>
      <c r="O87" s="44">
        <v>0.0087</v>
      </c>
      <c r="P87" s="46">
        <v>1.1</v>
      </c>
      <c r="Q87" s="46">
        <v>0.9</v>
      </c>
      <c r="R87" s="46">
        <v>0.36</v>
      </c>
      <c r="S87" s="46">
        <v>0.13</v>
      </c>
      <c r="T87" s="46">
        <v>0.12</v>
      </c>
      <c r="U87" s="46">
        <v>0.44</v>
      </c>
      <c r="V87" s="144">
        <v>1</v>
      </c>
    </row>
    <row r="88" spans="1:22" ht="12.75">
      <c r="A88" s="85" t="s">
        <v>2049</v>
      </c>
      <c r="B88" s="86" t="s">
        <v>2050</v>
      </c>
      <c r="C88" s="141" t="str">
        <f t="shared" si="0"/>
        <v>3 lat/a od dnia zakupu</v>
      </c>
      <c r="D88" s="141">
        <v>43617</v>
      </c>
      <c r="E88" s="141">
        <v>43646</v>
      </c>
      <c r="F88" s="271">
        <v>100</v>
      </c>
      <c r="G88" s="272">
        <v>99.9</v>
      </c>
      <c r="H88" s="273">
        <v>11.6057</v>
      </c>
      <c r="I88" s="274">
        <v>3.5162</v>
      </c>
      <c r="J88" s="44">
        <v>0.022</v>
      </c>
      <c r="K88" s="44">
        <v>0.0179</v>
      </c>
      <c r="L88" s="44">
        <v>0.0069</v>
      </c>
      <c r="M88" s="44">
        <v>0.0025</v>
      </c>
      <c r="N88" s="44">
        <v>0.0025</v>
      </c>
      <c r="O88" s="44">
        <v>0.02</v>
      </c>
      <c r="P88" s="46">
        <v>1.1</v>
      </c>
      <c r="Q88" s="46">
        <v>0.9</v>
      </c>
      <c r="R88" s="46">
        <v>0.35</v>
      </c>
      <c r="S88" s="46">
        <v>0.13</v>
      </c>
      <c r="T88" s="46">
        <v>0.13</v>
      </c>
      <c r="U88" s="46">
        <v>1</v>
      </c>
      <c r="V88" s="144">
        <v>1</v>
      </c>
    </row>
    <row r="89" spans="1:22" ht="12.75">
      <c r="A89" s="85" t="s">
        <v>2064</v>
      </c>
      <c r="B89" s="86" t="s">
        <v>2065</v>
      </c>
      <c r="C89" s="141" t="str">
        <f t="shared" si="0"/>
        <v>3 lat/a od dnia zakupu</v>
      </c>
      <c r="D89" s="141">
        <v>43647</v>
      </c>
      <c r="E89" s="141">
        <v>43677</v>
      </c>
      <c r="F89" s="271">
        <v>100</v>
      </c>
      <c r="G89" s="272">
        <v>99.9</v>
      </c>
      <c r="H89" s="273">
        <v>13.5756</v>
      </c>
      <c r="I89" s="274">
        <v>4.2868</v>
      </c>
      <c r="J89" s="44">
        <v>0.022</v>
      </c>
      <c r="K89" s="44">
        <v>0.0179</v>
      </c>
      <c r="L89" s="44">
        <v>0.0029</v>
      </c>
      <c r="M89" s="44">
        <v>0.0025</v>
      </c>
      <c r="N89" s="44">
        <v>0.0025</v>
      </c>
      <c r="O89" s="44">
        <v>0.0265</v>
      </c>
      <c r="P89" s="46">
        <v>1.1</v>
      </c>
      <c r="Q89" s="46">
        <v>0.9</v>
      </c>
      <c r="R89" s="46">
        <v>0.15</v>
      </c>
      <c r="S89" s="46">
        <v>0.13</v>
      </c>
      <c r="T89" s="46">
        <v>0.13</v>
      </c>
      <c r="U89" s="46">
        <v>1.33</v>
      </c>
      <c r="V89" s="144">
        <v>1</v>
      </c>
    </row>
    <row r="90" spans="1:22" ht="12.75">
      <c r="A90" s="85" t="s">
        <v>2078</v>
      </c>
      <c r="B90" s="86" t="s">
        <v>2079</v>
      </c>
      <c r="C90" s="141" t="str">
        <f t="shared" si="0"/>
        <v>3 lat/a od dnia zakupu</v>
      </c>
      <c r="D90" s="141">
        <v>43678</v>
      </c>
      <c r="E90" s="141">
        <v>43708</v>
      </c>
      <c r="F90" s="271">
        <v>100</v>
      </c>
      <c r="G90" s="272">
        <v>99.9</v>
      </c>
      <c r="H90" s="273">
        <v>18.0982</v>
      </c>
      <c r="I90" s="274">
        <v>6.36</v>
      </c>
      <c r="J90" s="44">
        <v>0.022</v>
      </c>
      <c r="K90" s="44">
        <v>0.0179</v>
      </c>
      <c r="L90" s="44">
        <v>0.0028</v>
      </c>
      <c r="M90" s="44">
        <v>0.0025</v>
      </c>
      <c r="N90" s="44">
        <v>0.0025</v>
      </c>
      <c r="O90" s="44">
        <v>0.032</v>
      </c>
      <c r="P90" s="46">
        <v>1.1</v>
      </c>
      <c r="Q90" s="46">
        <v>0.9</v>
      </c>
      <c r="R90" s="46">
        <v>0.14</v>
      </c>
      <c r="S90" s="46">
        <v>0.13</v>
      </c>
      <c r="T90" s="46">
        <v>0.13</v>
      </c>
      <c r="U90" s="46">
        <v>1.6</v>
      </c>
      <c r="V90" s="144">
        <v>1</v>
      </c>
    </row>
    <row r="91" spans="1:22" ht="12.75">
      <c r="A91" s="85" t="s">
        <v>2092</v>
      </c>
      <c r="B91" s="86" t="s">
        <v>2093</v>
      </c>
      <c r="C91" s="141" t="str">
        <f t="shared" si="0"/>
        <v>3 lat/a od dnia zakupu</v>
      </c>
      <c r="D91" s="141">
        <v>43709</v>
      </c>
      <c r="E91" s="141">
        <v>43738</v>
      </c>
      <c r="F91" s="271">
        <v>100</v>
      </c>
      <c r="G91" s="272">
        <v>99.9</v>
      </c>
      <c r="H91" s="273">
        <v>12.2642</v>
      </c>
      <c r="I91" s="274">
        <v>3.0318</v>
      </c>
      <c r="J91" s="44">
        <v>0.022</v>
      </c>
      <c r="K91" s="44">
        <v>0.0179</v>
      </c>
      <c r="L91" s="44">
        <v>0.0027</v>
      </c>
      <c r="M91" s="44">
        <v>0.0025</v>
      </c>
      <c r="N91" s="44">
        <v>0.0025</v>
      </c>
      <c r="O91" s="44">
        <v>0.0384</v>
      </c>
      <c r="P91" s="46">
        <v>1.1</v>
      </c>
      <c r="Q91" s="46">
        <v>0.9</v>
      </c>
      <c r="R91" s="46">
        <v>0.14</v>
      </c>
      <c r="S91" s="46">
        <v>0.13</v>
      </c>
      <c r="T91" s="46">
        <v>0.13</v>
      </c>
      <c r="U91" s="46">
        <v>1.92</v>
      </c>
      <c r="V91" s="144">
        <v>1</v>
      </c>
    </row>
    <row r="92" spans="1:22" ht="12.75">
      <c r="A92" s="85" t="s">
        <v>2106</v>
      </c>
      <c r="B92" s="86" t="s">
        <v>2107</v>
      </c>
      <c r="C92" s="141" t="str">
        <f t="shared" si="0"/>
        <v>3 lat/a od dnia zakupu</v>
      </c>
      <c r="D92" s="141">
        <v>43739</v>
      </c>
      <c r="E92" s="141">
        <v>43769</v>
      </c>
      <c r="F92" s="271">
        <v>100</v>
      </c>
      <c r="G92" s="272">
        <v>99.9</v>
      </c>
      <c r="H92" s="273">
        <v>16.3557</v>
      </c>
      <c r="I92" s="274">
        <v>6.6539</v>
      </c>
      <c r="J92" s="44">
        <v>0.022</v>
      </c>
      <c r="K92" s="44">
        <v>0.0127</v>
      </c>
      <c r="L92" s="44">
        <v>0.0026</v>
      </c>
      <c r="M92" s="44">
        <v>0.0025</v>
      </c>
      <c r="N92" s="44">
        <v>0.0029</v>
      </c>
      <c r="O92" s="44">
        <v>0.0479</v>
      </c>
      <c r="P92" s="46">
        <v>1.1</v>
      </c>
      <c r="Q92" s="46">
        <v>0.64</v>
      </c>
      <c r="R92" s="46">
        <v>0.13</v>
      </c>
      <c r="S92" s="46">
        <v>0.13</v>
      </c>
      <c r="T92" s="46">
        <v>0.15</v>
      </c>
      <c r="U92" s="46">
        <v>2.4</v>
      </c>
      <c r="V92" s="144">
        <v>1</v>
      </c>
    </row>
    <row r="93" spans="1:22" ht="12.75">
      <c r="A93" s="85" t="s">
        <v>2120</v>
      </c>
      <c r="B93" s="86" t="s">
        <v>2121</v>
      </c>
      <c r="C93" s="141" t="str">
        <f t="shared" si="0"/>
        <v>3 lat/a od dnia zakupu</v>
      </c>
      <c r="D93" s="141">
        <v>43770</v>
      </c>
      <c r="E93" s="141">
        <v>43799</v>
      </c>
      <c r="F93" s="271">
        <v>100</v>
      </c>
      <c r="G93" s="272">
        <v>99.9</v>
      </c>
      <c r="H93" s="273">
        <v>17.6619</v>
      </c>
      <c r="I93" s="274">
        <v>6.8692</v>
      </c>
      <c r="J93" s="44">
        <v>0.022</v>
      </c>
      <c r="K93" s="44">
        <v>0.0071</v>
      </c>
      <c r="L93" s="44">
        <v>0.0025</v>
      </c>
      <c r="M93" s="44">
        <v>0.0024</v>
      </c>
      <c r="N93" s="44">
        <v>0.0087</v>
      </c>
      <c r="O93" s="44">
        <v>0.0584</v>
      </c>
      <c r="P93" s="46">
        <v>1.1</v>
      </c>
      <c r="Q93" s="46">
        <v>0.36</v>
      </c>
      <c r="R93" s="46">
        <v>0.13</v>
      </c>
      <c r="S93" s="46">
        <v>0.12</v>
      </c>
      <c r="T93" s="46">
        <v>0.44</v>
      </c>
      <c r="U93" s="46">
        <v>2.92</v>
      </c>
      <c r="V93" s="144">
        <v>1</v>
      </c>
    </row>
    <row r="94" spans="1:22" ht="12.75">
      <c r="A94" s="90" t="s">
        <v>2134</v>
      </c>
      <c r="B94" s="91" t="s">
        <v>2135</v>
      </c>
      <c r="C94" s="146" t="str">
        <f t="shared" si="0"/>
        <v>3 lat/a od dnia zakupu</v>
      </c>
      <c r="D94" s="146">
        <v>43800</v>
      </c>
      <c r="E94" s="146">
        <v>43830</v>
      </c>
      <c r="F94" s="267">
        <v>100</v>
      </c>
      <c r="G94" s="268">
        <v>99.9</v>
      </c>
      <c r="H94" s="269">
        <v>16.6179</v>
      </c>
      <c r="I94" s="270">
        <v>5.0342</v>
      </c>
      <c r="J94" s="47">
        <v>0.022</v>
      </c>
      <c r="K94" s="47">
        <v>0.0069</v>
      </c>
      <c r="L94" s="47">
        <v>0.0025</v>
      </c>
      <c r="M94" s="47">
        <v>0.0025</v>
      </c>
      <c r="N94" s="47">
        <v>0.02</v>
      </c>
      <c r="O94" s="47">
        <v>0.0667</v>
      </c>
      <c r="P94" s="42">
        <v>1.1</v>
      </c>
      <c r="Q94" s="42">
        <v>0.35</v>
      </c>
      <c r="R94" s="42">
        <v>0.13</v>
      </c>
      <c r="S94" s="42">
        <v>0.13</v>
      </c>
      <c r="T94" s="42">
        <v>1</v>
      </c>
      <c r="U94" s="42">
        <v>3.34</v>
      </c>
      <c r="V94" s="149">
        <v>1</v>
      </c>
    </row>
    <row r="95" spans="1:22" ht="12.75">
      <c r="A95" s="113" t="s">
        <v>2148</v>
      </c>
      <c r="B95" s="114" t="s">
        <v>2149</v>
      </c>
      <c r="C95" s="151" t="str">
        <f t="shared" si="0"/>
        <v>3 lat/a od dnia zakupu</v>
      </c>
      <c r="D95" s="151">
        <v>43831</v>
      </c>
      <c r="E95" s="151">
        <v>43861</v>
      </c>
      <c r="F95" s="275">
        <v>100</v>
      </c>
      <c r="G95" s="276">
        <v>99.9</v>
      </c>
      <c r="H95" s="277">
        <v>17.8416</v>
      </c>
      <c r="I95" s="277">
        <v>4.7945</v>
      </c>
      <c r="J95" s="153">
        <v>0.022</v>
      </c>
      <c r="K95" s="153">
        <v>0.0029</v>
      </c>
      <c r="L95" s="153">
        <v>0.0025</v>
      </c>
      <c r="M95" s="153">
        <v>0.0025</v>
      </c>
      <c r="N95" s="153">
        <v>0.0265</v>
      </c>
      <c r="O95" s="153">
        <v>0.0718</v>
      </c>
      <c r="P95" s="154">
        <v>1.1</v>
      </c>
      <c r="Q95" s="154">
        <v>0.15</v>
      </c>
      <c r="R95" s="154">
        <v>0.13</v>
      </c>
      <c r="S95" s="154">
        <v>0.13</v>
      </c>
      <c r="T95" s="154">
        <v>1.33</v>
      </c>
      <c r="U95" s="154">
        <v>3.59</v>
      </c>
      <c r="V95" s="154">
        <v>1</v>
      </c>
    </row>
    <row r="96" spans="1:22" ht="12.75">
      <c r="A96" s="85" t="s">
        <v>2162</v>
      </c>
      <c r="B96" s="86" t="s">
        <v>2163</v>
      </c>
      <c r="C96" s="141" t="str">
        <f t="shared" si="0"/>
        <v>3 lat/a od dnia zakupu</v>
      </c>
      <c r="D96" s="141">
        <v>43862</v>
      </c>
      <c r="E96" s="141">
        <v>43889</v>
      </c>
      <c r="F96" s="271">
        <v>100</v>
      </c>
      <c r="G96" s="272">
        <v>99.9</v>
      </c>
      <c r="H96" s="273">
        <v>26.0859</v>
      </c>
      <c r="I96" s="273">
        <v>11.8799</v>
      </c>
      <c r="J96" s="143">
        <v>0.022</v>
      </c>
      <c r="K96" s="143">
        <v>0.0028</v>
      </c>
      <c r="L96" s="143">
        <v>0.0025</v>
      </c>
      <c r="M96" s="143">
        <v>0.0025</v>
      </c>
      <c r="N96" s="143">
        <v>0.032</v>
      </c>
      <c r="O96" s="143">
        <v>0.073</v>
      </c>
      <c r="P96" s="144">
        <v>1.1</v>
      </c>
      <c r="Q96" s="144">
        <v>0.14</v>
      </c>
      <c r="R96" s="144">
        <v>0.13</v>
      </c>
      <c r="S96" s="144">
        <v>0.13</v>
      </c>
      <c r="T96" s="144">
        <v>1.6</v>
      </c>
      <c r="U96" s="144">
        <v>3.65</v>
      </c>
      <c r="V96" s="144">
        <v>1</v>
      </c>
    </row>
    <row r="97" spans="1:22" ht="12.75">
      <c r="A97" s="85" t="s">
        <v>2172</v>
      </c>
      <c r="B97" s="86" t="s">
        <v>2181</v>
      </c>
      <c r="C97" s="141" t="str">
        <f t="shared" si="0"/>
        <v>3 lat/a od dnia zakupu</v>
      </c>
      <c r="D97" s="141">
        <v>43891</v>
      </c>
      <c r="E97" s="141">
        <v>43921</v>
      </c>
      <c r="F97" s="271">
        <v>100</v>
      </c>
      <c r="G97" s="272">
        <v>99.9</v>
      </c>
      <c r="H97" s="273">
        <v>13.9439</v>
      </c>
      <c r="I97" s="273">
        <v>4.9496</v>
      </c>
      <c r="J97" s="143">
        <v>0.022</v>
      </c>
      <c r="K97" s="143">
        <v>0.0027</v>
      </c>
      <c r="L97" s="143">
        <v>0.0025</v>
      </c>
      <c r="M97" s="143">
        <v>0.0025</v>
      </c>
      <c r="N97" s="143">
        <v>0.0384</v>
      </c>
      <c r="O97" s="143">
        <v>0.073</v>
      </c>
      <c r="P97" s="144">
        <v>1.1</v>
      </c>
      <c r="Q97" s="144">
        <v>0.14</v>
      </c>
      <c r="R97" s="144">
        <v>0.13</v>
      </c>
      <c r="S97" s="144">
        <v>0.13</v>
      </c>
      <c r="T97" s="144">
        <v>1.92</v>
      </c>
      <c r="U97" s="144">
        <v>3.65</v>
      </c>
      <c r="V97" s="144">
        <v>1</v>
      </c>
    </row>
    <row r="98" spans="1:22" ht="12.75">
      <c r="A98" s="85" t="s">
        <v>2190</v>
      </c>
      <c r="B98" s="86" t="s">
        <v>2191</v>
      </c>
      <c r="C98" s="141" t="str">
        <f t="shared" si="0"/>
        <v>3 lat/a od dnia zakupu</v>
      </c>
      <c r="D98" s="141">
        <v>43922</v>
      </c>
      <c r="E98" s="141">
        <v>43951</v>
      </c>
      <c r="F98" s="271">
        <v>100</v>
      </c>
      <c r="G98" s="272">
        <v>99.9</v>
      </c>
      <c r="H98" s="273">
        <v>21.7577</v>
      </c>
      <c r="I98" s="273">
        <v>3.929</v>
      </c>
      <c r="J98" s="143">
        <v>0.022</v>
      </c>
      <c r="K98" s="143">
        <v>0.0026</v>
      </c>
      <c r="L98" s="143">
        <v>0.0025</v>
      </c>
      <c r="M98" s="143">
        <v>0.0029</v>
      </c>
      <c r="N98" s="143">
        <v>0.0479</v>
      </c>
      <c r="O98" s="143">
        <v>0.0732</v>
      </c>
      <c r="P98" s="144">
        <v>1.1</v>
      </c>
      <c r="Q98" s="144">
        <v>0.13</v>
      </c>
      <c r="R98" s="144">
        <v>0.13</v>
      </c>
      <c r="S98" s="144">
        <v>0.15</v>
      </c>
      <c r="T98" s="144">
        <v>2.4</v>
      </c>
      <c r="U98" s="144">
        <v>3.66</v>
      </c>
      <c r="V98" s="144">
        <v>1</v>
      </c>
    </row>
    <row r="99" spans="1:22" ht="12.75">
      <c r="A99" s="85" t="s">
        <v>2204</v>
      </c>
      <c r="B99" s="86" t="s">
        <v>2205</v>
      </c>
      <c r="C99" s="141" t="str">
        <f t="shared" si="0"/>
        <v>3 lat/a od dnia zakupu</v>
      </c>
      <c r="D99" s="141">
        <v>43952</v>
      </c>
      <c r="E99" s="141">
        <v>43982</v>
      </c>
      <c r="F99" s="271">
        <v>100</v>
      </c>
      <c r="G99" s="272">
        <v>99.9</v>
      </c>
      <c r="H99" s="273">
        <v>13.047</v>
      </c>
      <c r="I99" s="273">
        <v>6.5965</v>
      </c>
      <c r="J99" s="143">
        <v>0.011</v>
      </c>
      <c r="K99" s="143">
        <v>0.0025</v>
      </c>
      <c r="L99" s="143">
        <v>0.0024</v>
      </c>
      <c r="M99" s="143">
        <v>0.0087</v>
      </c>
      <c r="N99" s="143">
        <v>0.0584</v>
      </c>
      <c r="O99" s="143">
        <v>0.0754</v>
      </c>
      <c r="P99" s="144">
        <v>0.55</v>
      </c>
      <c r="Q99" s="144">
        <v>0.13</v>
      </c>
      <c r="R99" s="144">
        <v>0.12</v>
      </c>
      <c r="S99" s="144">
        <v>0.44</v>
      </c>
      <c r="T99" s="144">
        <v>2.92</v>
      </c>
      <c r="U99" s="144">
        <v>3.77</v>
      </c>
      <c r="V99" s="144">
        <v>1</v>
      </c>
    </row>
    <row r="100" spans="1:22" ht="12.75">
      <c r="A100" s="85" t="s">
        <v>2218</v>
      </c>
      <c r="B100" s="86" t="s">
        <v>2219</v>
      </c>
      <c r="C100" s="141" t="str">
        <f t="shared" si="0"/>
        <v>3 lat/a od dnia zakupu</v>
      </c>
      <c r="D100" s="141">
        <v>43983</v>
      </c>
      <c r="E100" s="141">
        <v>44012</v>
      </c>
      <c r="F100" s="271">
        <v>100</v>
      </c>
      <c r="G100" s="272">
        <v>99.9</v>
      </c>
      <c r="H100" s="273">
        <v>8.4185</v>
      </c>
      <c r="I100" s="273">
        <v>3.5615</v>
      </c>
      <c r="J100" s="143">
        <v>0.011</v>
      </c>
      <c r="K100" s="143">
        <v>0.0025</v>
      </c>
      <c r="L100" s="143">
        <v>0.0025</v>
      </c>
      <c r="M100" s="143">
        <v>0.02</v>
      </c>
      <c r="N100" s="143">
        <v>0.0667</v>
      </c>
      <c r="O100" s="143">
        <v>0.0757</v>
      </c>
      <c r="P100" s="144">
        <v>0.55</v>
      </c>
      <c r="Q100" s="144">
        <v>0.13</v>
      </c>
      <c r="R100" s="144">
        <v>0.13</v>
      </c>
      <c r="S100" s="144">
        <v>1</v>
      </c>
      <c r="T100" s="144">
        <v>3.34</v>
      </c>
      <c r="U100" s="144">
        <v>3.79</v>
      </c>
      <c r="V100" s="144">
        <v>1</v>
      </c>
    </row>
    <row r="101" spans="1:22" ht="12.75">
      <c r="A101" s="85" t="s">
        <v>2232</v>
      </c>
      <c r="B101" s="86" t="s">
        <v>2233</v>
      </c>
      <c r="C101" s="141" t="str">
        <f t="shared" si="0"/>
        <v>3 lat/a od dnia zakupu</v>
      </c>
      <c r="D101" s="141">
        <v>44013</v>
      </c>
      <c r="E101" s="141">
        <v>44043</v>
      </c>
      <c r="F101" s="271">
        <v>100</v>
      </c>
      <c r="G101" s="272">
        <v>99.9</v>
      </c>
      <c r="H101" s="273">
        <v>11.075</v>
      </c>
      <c r="I101" s="273">
        <v>3.0988</v>
      </c>
      <c r="J101" s="143">
        <v>0.011</v>
      </c>
      <c r="K101" s="143">
        <v>0.0025</v>
      </c>
      <c r="L101" s="143">
        <v>0.0025</v>
      </c>
      <c r="M101" s="143">
        <v>0.0265</v>
      </c>
      <c r="N101" s="143">
        <v>0.0718</v>
      </c>
      <c r="O101" s="143">
        <v>0.0719</v>
      </c>
      <c r="P101" s="144">
        <v>0.55</v>
      </c>
      <c r="Q101" s="144">
        <v>0.13</v>
      </c>
      <c r="R101" s="144">
        <v>0.13</v>
      </c>
      <c r="S101" s="144">
        <v>1.33</v>
      </c>
      <c r="T101" s="144">
        <v>3.59</v>
      </c>
      <c r="U101" s="144">
        <v>3.6</v>
      </c>
      <c r="V101" s="144">
        <v>1</v>
      </c>
    </row>
    <row r="102" spans="1:22" ht="12.75">
      <c r="A102" s="85" t="s">
        <v>2246</v>
      </c>
      <c r="B102" s="86" t="s">
        <v>2247</v>
      </c>
      <c r="C102" s="141" t="str">
        <f t="shared" si="0"/>
        <v>3 lat/a od dnia zakupu</v>
      </c>
      <c r="D102" s="141">
        <v>44044</v>
      </c>
      <c r="E102" s="141">
        <v>44074</v>
      </c>
      <c r="F102" s="271">
        <v>100</v>
      </c>
      <c r="G102" s="272">
        <v>99.9</v>
      </c>
      <c r="H102" s="273">
        <v>13.0582</v>
      </c>
      <c r="I102" s="273">
        <v>5.7328</v>
      </c>
      <c r="J102" s="143">
        <v>0.011</v>
      </c>
      <c r="K102" s="143">
        <v>0.0025</v>
      </c>
      <c r="L102" s="143">
        <v>0.0025</v>
      </c>
      <c r="M102" s="143">
        <v>0.032</v>
      </c>
      <c r="N102" s="143">
        <v>0.073</v>
      </c>
      <c r="O102" s="143">
        <v>0.07</v>
      </c>
      <c r="P102" s="144">
        <v>0.55</v>
      </c>
      <c r="Q102" s="144">
        <v>0.13</v>
      </c>
      <c r="R102" s="144">
        <v>0.13</v>
      </c>
      <c r="S102" s="144">
        <v>1.6</v>
      </c>
      <c r="T102" s="144">
        <v>3.65</v>
      </c>
      <c r="U102" s="144">
        <v>3.5</v>
      </c>
      <c r="V102" s="144">
        <v>1</v>
      </c>
    </row>
    <row r="103" spans="1:22" ht="12.75">
      <c r="A103" s="85" t="s">
        <v>2261</v>
      </c>
      <c r="B103" s="86" t="s">
        <v>2260</v>
      </c>
      <c r="C103" s="141" t="str">
        <f t="shared" si="0"/>
        <v>3 lat/a od dnia zakupu</v>
      </c>
      <c r="D103" s="141">
        <v>44075</v>
      </c>
      <c r="E103" s="141">
        <v>44104</v>
      </c>
      <c r="F103" s="271">
        <v>100</v>
      </c>
      <c r="G103" s="272">
        <v>99.9</v>
      </c>
      <c r="H103" s="273">
        <v>11.4593</v>
      </c>
      <c r="I103" s="273">
        <v>4.2663</v>
      </c>
      <c r="J103" s="143">
        <v>0.011</v>
      </c>
      <c r="K103" s="143">
        <v>0.0025</v>
      </c>
      <c r="L103" s="143">
        <v>0.0025</v>
      </c>
      <c r="M103" s="143">
        <v>0.0384</v>
      </c>
      <c r="N103" s="143">
        <v>0.073</v>
      </c>
      <c r="O103" s="143">
        <v>0.07</v>
      </c>
      <c r="P103" s="144">
        <v>0.55</v>
      </c>
      <c r="Q103" s="144">
        <v>0.13</v>
      </c>
      <c r="R103" s="144">
        <v>0.13</v>
      </c>
      <c r="S103" s="144">
        <v>1.92</v>
      </c>
      <c r="T103" s="144">
        <v>3.65</v>
      </c>
      <c r="U103" s="144">
        <v>3.5</v>
      </c>
      <c r="V103" s="144">
        <v>1</v>
      </c>
    </row>
    <row r="104" spans="1:22" ht="12.75">
      <c r="A104" s="85" t="s">
        <v>2274</v>
      </c>
      <c r="B104" s="86" t="s">
        <v>2275</v>
      </c>
      <c r="C104" s="141" t="str">
        <f t="shared" si="0"/>
        <v>3 lat/a od dnia zakupu</v>
      </c>
      <c r="D104" s="141">
        <v>44105</v>
      </c>
      <c r="E104" s="141">
        <v>44135</v>
      </c>
      <c r="F104" s="271">
        <v>100</v>
      </c>
      <c r="G104" s="272">
        <v>99.9</v>
      </c>
      <c r="H104" s="273">
        <v>12.6671</v>
      </c>
      <c r="I104" s="273">
        <v>3.7696</v>
      </c>
      <c r="J104" s="143">
        <v>0.011</v>
      </c>
      <c r="K104" s="143">
        <v>0.0025</v>
      </c>
      <c r="L104" s="143">
        <v>0.0029</v>
      </c>
      <c r="M104" s="143">
        <v>0.0479</v>
      </c>
      <c r="N104" s="143">
        <v>0.0732</v>
      </c>
      <c r="O104" s="143">
        <v>0.0696</v>
      </c>
      <c r="P104" s="144">
        <v>0.55</v>
      </c>
      <c r="Q104" s="144">
        <v>0.13</v>
      </c>
      <c r="R104" s="144">
        <v>0.15</v>
      </c>
      <c r="S104" s="144">
        <v>2.4</v>
      </c>
      <c r="T104" s="144">
        <v>3.66</v>
      </c>
      <c r="U104" s="144">
        <v>3.48</v>
      </c>
      <c r="V104" s="144">
        <v>1</v>
      </c>
    </row>
    <row r="105" spans="1:22" ht="12.75">
      <c r="A105" s="85" t="s">
        <v>2288</v>
      </c>
      <c r="B105" s="86" t="s">
        <v>2289</v>
      </c>
      <c r="C105" s="141" t="str">
        <f t="shared" si="0"/>
        <v>3 lat/a od dnia zakupu</v>
      </c>
      <c r="D105" s="141">
        <v>44136</v>
      </c>
      <c r="E105" s="141">
        <v>44165</v>
      </c>
      <c r="F105" s="271">
        <v>100</v>
      </c>
      <c r="G105" s="272">
        <v>99.9</v>
      </c>
      <c r="H105" s="273">
        <v>11.0013</v>
      </c>
      <c r="I105" s="273">
        <v>4.9681</v>
      </c>
      <c r="J105" s="143">
        <v>0.011</v>
      </c>
      <c r="K105" s="143">
        <v>0.0024</v>
      </c>
      <c r="L105" s="143">
        <v>0.0087</v>
      </c>
      <c r="M105" s="143">
        <v>0.0584</v>
      </c>
      <c r="N105" s="143">
        <v>0.0754</v>
      </c>
      <c r="O105" s="143">
        <v>0.0695</v>
      </c>
      <c r="P105" s="144">
        <v>0.55</v>
      </c>
      <c r="Q105" s="144">
        <v>0.12</v>
      </c>
      <c r="R105" s="144">
        <v>0.44</v>
      </c>
      <c r="S105" s="144">
        <v>2.92</v>
      </c>
      <c r="T105" s="144">
        <v>3.77</v>
      </c>
      <c r="U105" s="144">
        <v>3.48</v>
      </c>
      <c r="V105" s="144">
        <v>1</v>
      </c>
    </row>
    <row r="106" spans="1:22" ht="12.75">
      <c r="A106" s="90" t="s">
        <v>2302</v>
      </c>
      <c r="B106" s="91" t="s">
        <v>2303</v>
      </c>
      <c r="C106" s="146" t="str">
        <f t="shared" si="0"/>
        <v>3 lat/a od dnia zakupu</v>
      </c>
      <c r="D106" s="146">
        <v>44166</v>
      </c>
      <c r="E106" s="146">
        <v>44196</v>
      </c>
      <c r="F106" s="267">
        <v>100</v>
      </c>
      <c r="G106" s="268">
        <v>99.9</v>
      </c>
      <c r="H106" s="269">
        <v>8.3407</v>
      </c>
      <c r="I106" s="269">
        <v>2.102</v>
      </c>
      <c r="J106" s="148">
        <v>0.011</v>
      </c>
      <c r="K106" s="148">
        <v>0.0025</v>
      </c>
      <c r="L106" s="148">
        <v>0.02</v>
      </c>
      <c r="M106" s="148">
        <v>0.0667</v>
      </c>
      <c r="N106" s="148">
        <v>0.0757</v>
      </c>
      <c r="O106" s="148">
        <v>0.0695</v>
      </c>
      <c r="P106" s="149">
        <v>0.55</v>
      </c>
      <c r="Q106" s="149">
        <v>0.13</v>
      </c>
      <c r="R106" s="149">
        <v>1</v>
      </c>
      <c r="S106" s="149">
        <v>3.34</v>
      </c>
      <c r="T106" s="149">
        <v>3.79</v>
      </c>
      <c r="U106" s="149">
        <v>3.48</v>
      </c>
      <c r="V106" s="149">
        <v>1</v>
      </c>
    </row>
    <row r="107" spans="1:22" ht="12.75">
      <c r="A107" s="113" t="s">
        <v>2314</v>
      </c>
      <c r="B107" s="114" t="s">
        <v>2321</v>
      </c>
      <c r="C107" s="151" t="str">
        <f t="shared" si="0"/>
        <v>3 lat/a od dnia zakupu</v>
      </c>
      <c r="D107" s="151">
        <v>44197</v>
      </c>
      <c r="E107" s="151">
        <v>44227</v>
      </c>
      <c r="F107" s="275">
        <v>100</v>
      </c>
      <c r="G107" s="276">
        <v>99.9</v>
      </c>
      <c r="H107" s="277">
        <v>8.7032</v>
      </c>
      <c r="I107" s="277">
        <v>2.6542</v>
      </c>
      <c r="J107" s="153">
        <v>0.011</v>
      </c>
      <c r="K107" s="153">
        <v>0.0025</v>
      </c>
      <c r="L107" s="153">
        <v>0.0265</v>
      </c>
      <c r="M107" s="153">
        <v>0.0718</v>
      </c>
      <c r="N107" s="153">
        <v>0.0719</v>
      </c>
      <c r="O107" s="153">
        <v>0.0695</v>
      </c>
      <c r="P107" s="154">
        <v>0.55</v>
      </c>
      <c r="Q107" s="154">
        <v>0.13</v>
      </c>
      <c r="R107" s="154">
        <v>1.33</v>
      </c>
      <c r="S107" s="154">
        <v>3.59</v>
      </c>
      <c r="T107" s="154">
        <v>3.6</v>
      </c>
      <c r="U107" s="154">
        <v>3.48</v>
      </c>
      <c r="V107" s="154">
        <v>1</v>
      </c>
    </row>
    <row r="108" spans="1:22" ht="12.75">
      <c r="A108" s="85" t="s">
        <v>2330</v>
      </c>
      <c r="B108" s="86" t="s">
        <v>2331</v>
      </c>
      <c r="C108" s="141" t="str">
        <f t="shared" si="0"/>
        <v>3 lat/a od dnia zakupu</v>
      </c>
      <c r="D108" s="141">
        <v>44228</v>
      </c>
      <c r="E108" s="141">
        <v>44255</v>
      </c>
      <c r="F108" s="271">
        <v>100</v>
      </c>
      <c r="G108" s="272">
        <v>99.9</v>
      </c>
      <c r="H108" s="273">
        <v>15.4172</v>
      </c>
      <c r="I108" s="273">
        <v>6.9559</v>
      </c>
      <c r="J108" s="143">
        <v>0.011</v>
      </c>
      <c r="K108" s="143">
        <v>0.0025</v>
      </c>
      <c r="L108" s="143">
        <v>0.032</v>
      </c>
      <c r="M108" s="143">
        <v>0.073</v>
      </c>
      <c r="N108" s="143">
        <v>0.07</v>
      </c>
      <c r="O108" s="143">
        <v>0.0671</v>
      </c>
      <c r="P108" s="144">
        <v>0.55</v>
      </c>
      <c r="Q108" s="144">
        <v>0.13</v>
      </c>
      <c r="R108" s="144">
        <v>1.6</v>
      </c>
      <c r="S108" s="144">
        <v>3.65</v>
      </c>
      <c r="T108" s="144">
        <v>3.5</v>
      </c>
      <c r="U108" s="144">
        <v>3.36</v>
      </c>
      <c r="V108" s="144">
        <v>1</v>
      </c>
    </row>
    <row r="109" spans="1:22" ht="12.75">
      <c r="A109" s="85" t="s">
        <v>2344</v>
      </c>
      <c r="B109" s="86" t="s">
        <v>2345</v>
      </c>
      <c r="C109" s="141" t="str">
        <f t="shared" si="0"/>
        <v>3 lat/a od dnia zakupu</v>
      </c>
      <c r="D109" s="141">
        <v>44256</v>
      </c>
      <c r="E109" s="141">
        <v>44286</v>
      </c>
      <c r="F109" s="271">
        <v>100</v>
      </c>
      <c r="G109" s="272">
        <v>99.9</v>
      </c>
      <c r="H109" s="273">
        <v>13.0286</v>
      </c>
      <c r="I109" s="273">
        <v>3.769</v>
      </c>
      <c r="J109" s="143">
        <v>0.011</v>
      </c>
      <c r="K109" s="143">
        <v>0.0025</v>
      </c>
      <c r="L109" s="143">
        <v>0.0384</v>
      </c>
      <c r="M109" s="143">
        <v>0.073</v>
      </c>
      <c r="N109" s="143">
        <v>0.07</v>
      </c>
      <c r="O109" s="143">
        <v>0.0654</v>
      </c>
      <c r="P109" s="144">
        <v>0.55</v>
      </c>
      <c r="Q109" s="144">
        <v>0.13</v>
      </c>
      <c r="R109" s="144">
        <v>1.92</v>
      </c>
      <c r="S109" s="144">
        <v>3.65</v>
      </c>
      <c r="T109" s="144">
        <v>3.5</v>
      </c>
      <c r="U109" s="144">
        <v>3.27</v>
      </c>
      <c r="V109" s="144">
        <v>1</v>
      </c>
    </row>
    <row r="110" spans="1:22" ht="12.75">
      <c r="A110" s="85" t="s">
        <v>2358</v>
      </c>
      <c r="B110" s="86" t="s">
        <v>2359</v>
      </c>
      <c r="C110" s="141" t="str">
        <f t="shared" si="0"/>
        <v>3 lat/a od dnia zakupu</v>
      </c>
      <c r="D110" s="141">
        <v>44287</v>
      </c>
      <c r="E110" s="141">
        <v>44316</v>
      </c>
      <c r="F110" s="271">
        <v>100</v>
      </c>
      <c r="G110" s="272">
        <v>99.9</v>
      </c>
      <c r="H110" s="273">
        <v>10.9775</v>
      </c>
      <c r="I110" s="273">
        <v>3.89</v>
      </c>
      <c r="J110" s="143">
        <v>0.011</v>
      </c>
      <c r="K110" s="143">
        <v>0.0029</v>
      </c>
      <c r="L110" s="143">
        <v>0.0479</v>
      </c>
      <c r="M110" s="143">
        <v>0.0732</v>
      </c>
      <c r="N110" s="143">
        <v>0.0696</v>
      </c>
      <c r="O110" s="143">
        <v>0.0566</v>
      </c>
      <c r="P110" s="144">
        <v>0.55</v>
      </c>
      <c r="Q110" s="144">
        <v>0.15</v>
      </c>
      <c r="R110" s="144">
        <v>2.4</v>
      </c>
      <c r="S110" s="144">
        <v>3.66</v>
      </c>
      <c r="T110" s="144">
        <v>3.48</v>
      </c>
      <c r="U110" s="144">
        <v>2.83</v>
      </c>
      <c r="V110" s="144">
        <v>1</v>
      </c>
    </row>
    <row r="111" spans="1:22" ht="12.75">
      <c r="A111" s="85" t="s">
        <v>2371</v>
      </c>
      <c r="B111" s="86" t="s">
        <v>2373</v>
      </c>
      <c r="C111" s="141" t="str">
        <f t="shared" si="0"/>
        <v>3 lat/a od dnia zakupu</v>
      </c>
      <c r="D111" s="141">
        <v>44317</v>
      </c>
      <c r="E111" s="141">
        <v>44347</v>
      </c>
      <c r="F111" s="271">
        <v>100</v>
      </c>
      <c r="G111" s="272">
        <v>99.9</v>
      </c>
      <c r="H111" s="273">
        <v>10.4178</v>
      </c>
      <c r="I111" s="273">
        <v>2.925</v>
      </c>
      <c r="J111" s="143">
        <v>0.011</v>
      </c>
      <c r="K111" s="143">
        <v>0.0087</v>
      </c>
      <c r="L111" s="143">
        <v>0.0584</v>
      </c>
      <c r="M111" s="143">
        <v>0.0754</v>
      </c>
      <c r="N111" s="143">
        <v>0.0695</v>
      </c>
      <c r="O111" s="143">
        <v>0.0558</v>
      </c>
      <c r="P111" s="144">
        <v>0.55</v>
      </c>
      <c r="Q111" s="144">
        <v>0.44</v>
      </c>
      <c r="R111" s="144">
        <v>2.92</v>
      </c>
      <c r="S111" s="144">
        <v>3.77</v>
      </c>
      <c r="T111" s="144">
        <v>3.48</v>
      </c>
      <c r="U111" s="144">
        <v>2.79</v>
      </c>
      <c r="V111" s="144">
        <v>1</v>
      </c>
    </row>
    <row r="112" spans="1:22" ht="12.75">
      <c r="A112" s="85" t="s">
        <v>2386</v>
      </c>
      <c r="B112" s="86" t="s">
        <v>2387</v>
      </c>
      <c r="C112" s="141" t="str">
        <f t="shared" si="0"/>
        <v>3 lat/a od dnia zakupu</v>
      </c>
      <c r="D112" s="141">
        <v>44348</v>
      </c>
      <c r="E112" s="141">
        <v>44377</v>
      </c>
      <c r="F112" s="271">
        <v>100</v>
      </c>
      <c r="G112" s="272">
        <v>99.9</v>
      </c>
      <c r="H112" s="273">
        <v>10.6495</v>
      </c>
      <c r="I112" s="273">
        <v>3.989</v>
      </c>
      <c r="J112" s="143">
        <v>0.011</v>
      </c>
      <c r="K112" s="143">
        <v>0.02</v>
      </c>
      <c r="L112" s="143">
        <v>0.0667</v>
      </c>
      <c r="M112" s="143">
        <v>0.0757</v>
      </c>
      <c r="N112" s="143">
        <v>0.0695</v>
      </c>
      <c r="O112" s="143">
        <v>0.0579</v>
      </c>
      <c r="P112" s="144">
        <v>0.55</v>
      </c>
      <c r="Q112" s="144">
        <v>1</v>
      </c>
      <c r="R112" s="144">
        <v>3.34</v>
      </c>
      <c r="S112" s="144">
        <v>3.79</v>
      </c>
      <c r="T112" s="144">
        <v>3.48</v>
      </c>
      <c r="U112" s="144">
        <v>2.9</v>
      </c>
      <c r="V112" s="144">
        <v>1</v>
      </c>
    </row>
    <row r="113" spans="1:22" ht="12.75">
      <c r="A113" s="85" t="s">
        <v>2400</v>
      </c>
      <c r="B113" s="86" t="s">
        <v>2401</v>
      </c>
      <c r="C113" s="141" t="str">
        <f t="shared" si="0"/>
        <v>3 lat/a od dnia zakupu</v>
      </c>
      <c r="D113" s="141">
        <v>44378</v>
      </c>
      <c r="E113" s="141">
        <v>44408</v>
      </c>
      <c r="F113" s="271">
        <v>100</v>
      </c>
      <c r="G113" s="272">
        <v>99.9</v>
      </c>
      <c r="H113" s="273">
        <v>9.9654</v>
      </c>
      <c r="I113" s="273">
        <v>2.5179</v>
      </c>
      <c r="J113" s="143">
        <v>0.011</v>
      </c>
      <c r="K113" s="143">
        <v>0.0265</v>
      </c>
      <c r="L113" s="143">
        <v>0.0718</v>
      </c>
      <c r="M113" s="143">
        <v>0.0719</v>
      </c>
      <c r="N113" s="143">
        <v>0.0695</v>
      </c>
      <c r="O113" s="143">
        <v>0.0582</v>
      </c>
      <c r="P113" s="144">
        <v>0.55</v>
      </c>
      <c r="Q113" s="144">
        <v>1.33</v>
      </c>
      <c r="R113" s="144">
        <v>3.59</v>
      </c>
      <c r="S113" s="144">
        <v>3.6</v>
      </c>
      <c r="T113" s="144">
        <v>3.48</v>
      </c>
      <c r="U113" s="144">
        <v>2.91</v>
      </c>
      <c r="V113" s="144">
        <v>1</v>
      </c>
    </row>
    <row r="114" spans="1:22" ht="12.75">
      <c r="A114" s="85" t="s">
        <v>2413</v>
      </c>
      <c r="B114" s="86" t="s">
        <v>2419</v>
      </c>
      <c r="C114" s="141" t="str">
        <f t="shared" si="0"/>
        <v>3 lat/a od dnia zakupu</v>
      </c>
      <c r="D114" s="141">
        <v>44409</v>
      </c>
      <c r="E114" s="141">
        <v>44439</v>
      </c>
      <c r="F114" s="271">
        <v>100</v>
      </c>
      <c r="G114" s="272">
        <v>99.9</v>
      </c>
      <c r="H114" s="273">
        <v>15.7416</v>
      </c>
      <c r="I114" s="273">
        <v>5.5877</v>
      </c>
      <c r="J114" s="143">
        <v>0.011</v>
      </c>
      <c r="K114" s="143">
        <v>0.032</v>
      </c>
      <c r="L114" s="143">
        <v>0.073</v>
      </c>
      <c r="M114" s="143">
        <v>0.07</v>
      </c>
      <c r="N114" s="143">
        <v>0.0671</v>
      </c>
      <c r="O114" s="143">
        <v>0.0585</v>
      </c>
      <c r="P114" s="144">
        <v>0.55</v>
      </c>
      <c r="Q114" s="144">
        <v>1.6</v>
      </c>
      <c r="R114" s="144">
        <v>3.65</v>
      </c>
      <c r="S114" s="144">
        <v>3.5</v>
      </c>
      <c r="T114" s="144">
        <v>3.36</v>
      </c>
      <c r="U114" s="144">
        <v>2.93</v>
      </c>
      <c r="V114" s="144">
        <v>1</v>
      </c>
    </row>
    <row r="115" spans="1:22" ht="12.75">
      <c r="A115" s="85" t="s">
        <v>2428</v>
      </c>
      <c r="B115" s="86" t="s">
        <v>2429</v>
      </c>
      <c r="C115" s="141" t="str">
        <f t="shared" si="0"/>
        <v>3 lat/a od dnia zakupu</v>
      </c>
      <c r="D115" s="141">
        <v>44440</v>
      </c>
      <c r="E115" s="141">
        <v>44469</v>
      </c>
      <c r="F115" s="271">
        <v>100</v>
      </c>
      <c r="G115" s="272">
        <v>99.9</v>
      </c>
      <c r="H115" s="273">
        <v>13.394</v>
      </c>
      <c r="I115" s="273">
        <v>3.3455</v>
      </c>
      <c r="J115" s="143">
        <v>0.011</v>
      </c>
      <c r="K115" s="143">
        <v>0.0384</v>
      </c>
      <c r="L115" s="143">
        <v>0.073</v>
      </c>
      <c r="M115" s="143">
        <v>0.07</v>
      </c>
      <c r="N115" s="143">
        <v>0.0654</v>
      </c>
      <c r="O115" s="143">
        <v>0.0586</v>
      </c>
      <c r="P115" s="144">
        <v>0.55</v>
      </c>
      <c r="Q115" s="144">
        <v>1.92</v>
      </c>
      <c r="R115" s="144">
        <v>3.65</v>
      </c>
      <c r="S115" s="144">
        <v>3.5</v>
      </c>
      <c r="T115" s="144">
        <v>3.27</v>
      </c>
      <c r="U115" s="144">
        <v>2.93</v>
      </c>
      <c r="V115" s="144">
        <v>1</v>
      </c>
    </row>
    <row r="116" spans="1:22" ht="12.75">
      <c r="A116" s="85" t="s">
        <v>2442</v>
      </c>
      <c r="B116" s="86" t="s">
        <v>2443</v>
      </c>
      <c r="C116" s="141" t="str">
        <f t="shared" si="0"/>
        <v>3 lat/a od dnia zakupu</v>
      </c>
      <c r="D116" s="141">
        <v>44470</v>
      </c>
      <c r="E116" s="141">
        <v>44500</v>
      </c>
      <c r="F116" s="271">
        <v>100</v>
      </c>
      <c r="G116" s="272">
        <v>99.9</v>
      </c>
      <c r="H116" s="273">
        <v>11.1197</v>
      </c>
      <c r="I116" s="273">
        <v>4.3294</v>
      </c>
      <c r="J116" s="143">
        <v>0.011</v>
      </c>
      <c r="K116" s="143">
        <v>0.0479</v>
      </c>
      <c r="L116" s="143">
        <v>0.0732</v>
      </c>
      <c r="M116" s="143">
        <v>0.0696</v>
      </c>
      <c r="N116" s="143">
        <v>0.0566</v>
      </c>
      <c r="O116" s="143">
        <v>0.0586</v>
      </c>
      <c r="P116" s="144">
        <v>0.55</v>
      </c>
      <c r="Q116" s="144">
        <v>2.4</v>
      </c>
      <c r="R116" s="144">
        <v>3.66</v>
      </c>
      <c r="S116" s="144">
        <v>3.48</v>
      </c>
      <c r="T116" s="144">
        <v>2.83</v>
      </c>
      <c r="U116" s="144">
        <v>2.93</v>
      </c>
      <c r="V116" s="144">
        <v>1</v>
      </c>
    </row>
    <row r="117" spans="1:22" ht="12.75">
      <c r="A117" s="85" t="s">
        <v>2454</v>
      </c>
      <c r="B117" s="86" t="s">
        <v>2461</v>
      </c>
      <c r="C117" s="141" t="str">
        <f t="shared" si="0"/>
        <v>3 lat/a od dnia zakupu</v>
      </c>
      <c r="D117" s="141">
        <v>44501</v>
      </c>
      <c r="E117" s="141">
        <v>44530</v>
      </c>
      <c r="F117" s="271">
        <v>100</v>
      </c>
      <c r="G117" s="272">
        <v>99.9</v>
      </c>
      <c r="H117" s="273">
        <v>22.6851</v>
      </c>
      <c r="I117" s="273">
        <v>6.0602</v>
      </c>
      <c r="J117" s="143">
        <v>0.011</v>
      </c>
      <c r="K117" s="143">
        <v>0.0584</v>
      </c>
      <c r="L117" s="143">
        <v>0.0754</v>
      </c>
      <c r="M117" s="143">
        <v>0.0695</v>
      </c>
      <c r="N117" s="143">
        <v>0.0558</v>
      </c>
      <c r="O117" s="143"/>
      <c r="P117" s="144">
        <v>0.55</v>
      </c>
      <c r="Q117" s="144">
        <v>2.92</v>
      </c>
      <c r="R117" s="144">
        <v>3.77</v>
      </c>
      <c r="S117" s="144">
        <v>3.48</v>
      </c>
      <c r="T117" s="144">
        <v>2.79</v>
      </c>
      <c r="U117" s="144"/>
      <c r="V117" s="144">
        <v>1</v>
      </c>
    </row>
    <row r="118" spans="1:22" ht="12.75">
      <c r="A118" s="90" t="s">
        <v>2470</v>
      </c>
      <c r="B118" s="91" t="s">
        <v>2471</v>
      </c>
      <c r="C118" s="146" t="str">
        <f t="shared" si="0"/>
        <v>3 lat/a od dnia zakupu</v>
      </c>
      <c r="D118" s="146">
        <v>44531</v>
      </c>
      <c r="E118" s="146">
        <v>44561</v>
      </c>
      <c r="F118" s="267">
        <v>100</v>
      </c>
      <c r="G118" s="268">
        <v>99.9</v>
      </c>
      <c r="H118" s="269">
        <v>43.0232</v>
      </c>
      <c r="I118" s="269">
        <v>6.4378</v>
      </c>
      <c r="J118" s="148">
        <v>0.011</v>
      </c>
      <c r="K118" s="148">
        <v>0.0667</v>
      </c>
      <c r="L118" s="148">
        <v>0.0757</v>
      </c>
      <c r="M118" s="148">
        <v>0.0695</v>
      </c>
      <c r="N118" s="148">
        <v>0.0579</v>
      </c>
      <c r="O118" s="148"/>
      <c r="P118" s="149">
        <v>0.55</v>
      </c>
      <c r="Q118" s="149">
        <v>3.34</v>
      </c>
      <c r="R118" s="149">
        <v>3.79</v>
      </c>
      <c r="S118" s="149">
        <v>3.48</v>
      </c>
      <c r="T118" s="149">
        <v>2.9</v>
      </c>
      <c r="U118" s="149"/>
      <c r="V118" s="149">
        <v>1</v>
      </c>
    </row>
    <row r="119" spans="1:22" ht="12.75">
      <c r="A119" s="113" t="s">
        <v>2484</v>
      </c>
      <c r="B119" s="114" t="s">
        <v>2485</v>
      </c>
      <c r="C119" s="151" t="str">
        <f t="shared" si="0"/>
        <v>3 lat/a od dnia zakupu</v>
      </c>
      <c r="D119" s="151">
        <v>44562</v>
      </c>
      <c r="E119" s="151">
        <v>44592</v>
      </c>
      <c r="F119" s="275">
        <v>100</v>
      </c>
      <c r="G119" s="276">
        <v>99.9</v>
      </c>
      <c r="H119" s="277">
        <v>45.4401</v>
      </c>
      <c r="I119" s="277">
        <v>8.9755</v>
      </c>
      <c r="J119" s="153">
        <v>0.011</v>
      </c>
      <c r="K119" s="153">
        <v>0.0718</v>
      </c>
      <c r="L119" s="153">
        <v>0.0719</v>
      </c>
      <c r="M119" s="153">
        <v>0.0695</v>
      </c>
      <c r="N119" s="153">
        <v>0.0582</v>
      </c>
      <c r="O119" s="153"/>
      <c r="P119" s="154">
        <v>0.55</v>
      </c>
      <c r="Q119" s="154">
        <v>3.59</v>
      </c>
      <c r="R119" s="154">
        <v>3.6</v>
      </c>
      <c r="S119" s="154">
        <v>3.48</v>
      </c>
      <c r="T119" s="154">
        <v>2.91</v>
      </c>
      <c r="U119" s="154"/>
      <c r="V119" s="154">
        <v>1</v>
      </c>
    </row>
    <row r="120" spans="1:22" ht="12.75">
      <c r="A120" s="85" t="s">
        <v>2497</v>
      </c>
      <c r="B120" s="86" t="s">
        <v>2499</v>
      </c>
      <c r="C120" s="141" t="str">
        <f t="shared" si="0"/>
        <v>3 lat/a od dnia zakupu</v>
      </c>
      <c r="D120" s="141">
        <v>44593</v>
      </c>
      <c r="E120" s="141">
        <v>44620</v>
      </c>
      <c r="F120" s="271">
        <v>100</v>
      </c>
      <c r="G120" s="272">
        <v>99.9</v>
      </c>
      <c r="H120" s="273">
        <v>92.8501</v>
      </c>
      <c r="I120" s="273">
        <v>16.2434</v>
      </c>
      <c r="J120" s="143">
        <v>0.016</v>
      </c>
      <c r="K120" s="143">
        <v>0.073</v>
      </c>
      <c r="L120" s="143">
        <v>0.07</v>
      </c>
      <c r="M120" s="143">
        <v>0.0671</v>
      </c>
      <c r="N120" s="143">
        <v>0.0585</v>
      </c>
      <c r="O120" s="143"/>
      <c r="P120" s="144">
        <v>0.8</v>
      </c>
      <c r="Q120" s="144">
        <v>3.65</v>
      </c>
      <c r="R120" s="144">
        <v>3.5</v>
      </c>
      <c r="S120" s="144">
        <v>3.36</v>
      </c>
      <c r="T120" s="144">
        <v>2.93</v>
      </c>
      <c r="U120" s="144"/>
      <c r="V120" s="144">
        <v>1</v>
      </c>
    </row>
    <row r="121" spans="1:22" ht="12.75">
      <c r="A121" s="85" t="s">
        <v>2515</v>
      </c>
      <c r="B121" s="86" t="s">
        <v>2516</v>
      </c>
      <c r="C121" s="141" t="str">
        <f t="shared" si="0"/>
        <v>3 lat/a od dnia zakupu</v>
      </c>
      <c r="D121" s="141">
        <v>44621</v>
      </c>
      <c r="E121" s="141">
        <v>44651</v>
      </c>
      <c r="F121" s="271">
        <v>100</v>
      </c>
      <c r="G121" s="272">
        <v>99.9</v>
      </c>
      <c r="H121" s="273">
        <v>57.6447</v>
      </c>
      <c r="I121" s="273">
        <v>8.0179</v>
      </c>
      <c r="J121" s="143">
        <v>0.016</v>
      </c>
      <c r="K121" s="143">
        <v>0.073</v>
      </c>
      <c r="L121" s="143">
        <v>0.07</v>
      </c>
      <c r="M121" s="143">
        <v>0.0654</v>
      </c>
      <c r="N121" s="143">
        <v>0.0586</v>
      </c>
      <c r="O121" s="143"/>
      <c r="P121" s="144">
        <v>0.8</v>
      </c>
      <c r="Q121" s="144">
        <v>3.65</v>
      </c>
      <c r="R121" s="144">
        <v>3.5</v>
      </c>
      <c r="S121" s="144">
        <v>3.27</v>
      </c>
      <c r="T121" s="144">
        <v>2.93</v>
      </c>
      <c r="U121" s="144"/>
      <c r="V121" s="144">
        <v>1</v>
      </c>
    </row>
    <row r="122" spans="1:22" ht="12.75">
      <c r="A122" s="85" t="s">
        <v>2529</v>
      </c>
      <c r="B122" s="86" t="s">
        <v>2530</v>
      </c>
      <c r="C122" s="141" t="str">
        <f t="shared" si="0"/>
        <v>3 lat/a od dnia zakupu</v>
      </c>
      <c r="D122" s="141">
        <v>44652</v>
      </c>
      <c r="E122" s="141">
        <v>44681</v>
      </c>
      <c r="F122" s="271">
        <v>100</v>
      </c>
      <c r="G122" s="272">
        <v>99.9</v>
      </c>
      <c r="H122" s="273">
        <v>94.6541</v>
      </c>
      <c r="I122" s="273">
        <v>13.8605</v>
      </c>
      <c r="J122" s="143">
        <v>0.021</v>
      </c>
      <c r="K122" s="143">
        <v>0.0732</v>
      </c>
      <c r="L122" s="143">
        <v>0.0696</v>
      </c>
      <c r="M122" s="143">
        <v>0.0566</v>
      </c>
      <c r="N122" s="143">
        <v>0.0586</v>
      </c>
      <c r="O122" s="143"/>
      <c r="P122" s="144">
        <v>1.05</v>
      </c>
      <c r="Q122" s="144">
        <v>3.66</v>
      </c>
      <c r="R122" s="144">
        <v>3.48</v>
      </c>
      <c r="S122" s="144">
        <v>2.83</v>
      </c>
      <c r="T122" s="144">
        <v>2.93</v>
      </c>
      <c r="U122" s="144"/>
      <c r="V122" s="144">
        <v>1</v>
      </c>
    </row>
    <row r="123" spans="1:22" ht="12.75">
      <c r="A123" s="85" t="s">
        <v>2544</v>
      </c>
      <c r="B123" s="86" t="s">
        <v>2542</v>
      </c>
      <c r="C123" s="141" t="str">
        <f t="shared" si="0"/>
        <v>3 lat/a od dnia zakupu</v>
      </c>
      <c r="D123" s="141">
        <f>_XLL.NR.SER.DATY(D122,1)</f>
        <v>44682</v>
      </c>
      <c r="E123" s="141">
        <f>_XLL.NR.SER.OST.DN.MIES(D123,0)</f>
        <v>44712</v>
      </c>
      <c r="F123" s="271">
        <v>100</v>
      </c>
      <c r="G123" s="272">
        <v>99.9</v>
      </c>
      <c r="H123" s="273">
        <v>85.9995</v>
      </c>
      <c r="I123" s="273">
        <v>9.7004</v>
      </c>
      <c r="J123" s="143">
        <v>0.031</v>
      </c>
      <c r="K123" s="143">
        <v>0.0754</v>
      </c>
      <c r="L123" s="143">
        <v>0.0695</v>
      </c>
      <c r="M123" s="143">
        <v>0.0558</v>
      </c>
      <c r="N123" s="143"/>
      <c r="O123" s="143"/>
      <c r="P123" s="144">
        <v>1.55</v>
      </c>
      <c r="Q123" s="144">
        <v>3.77</v>
      </c>
      <c r="R123" s="144">
        <v>3.48</v>
      </c>
      <c r="S123" s="144">
        <v>2.79</v>
      </c>
      <c r="T123" s="144"/>
      <c r="U123" s="144"/>
      <c r="V123" s="144">
        <v>1</v>
      </c>
    </row>
    <row r="124" spans="1:22" ht="12.75">
      <c r="A124" s="85" t="s">
        <v>2620</v>
      </c>
      <c r="B124" s="86" t="s">
        <v>2621</v>
      </c>
      <c r="C124" s="141" t="str">
        <f t="shared" si="0"/>
        <v>3 lat/a od dnia zakupu</v>
      </c>
      <c r="D124" s="141">
        <f>_XLL.NR.SER.DATY(D123,1)</f>
        <v>44713</v>
      </c>
      <c r="E124" s="141">
        <f>_XLL.NR.SER.OST.DN.MIES(D124,0)</f>
        <v>44742</v>
      </c>
      <c r="F124" s="271">
        <v>100</v>
      </c>
      <c r="G124" s="272">
        <v>99.9</v>
      </c>
      <c r="H124" s="273">
        <v>187.2293</v>
      </c>
      <c r="I124" s="273">
        <v>9.4239</v>
      </c>
      <c r="J124" s="143">
        <v>0.055</v>
      </c>
      <c r="K124" s="143">
        <v>0.0757</v>
      </c>
      <c r="L124" s="143">
        <v>0.0695</v>
      </c>
      <c r="M124" s="143">
        <v>0.0579</v>
      </c>
      <c r="N124" s="143"/>
      <c r="O124" s="143"/>
      <c r="P124" s="144">
        <v>2.75</v>
      </c>
      <c r="Q124" s="144">
        <v>3.79</v>
      </c>
      <c r="R124" s="144">
        <v>3.48</v>
      </c>
      <c r="S124" s="144">
        <v>2.9</v>
      </c>
      <c r="T124" s="144"/>
      <c r="U124" s="144"/>
      <c r="V124" s="144">
        <v>1</v>
      </c>
    </row>
    <row r="125" spans="1:22" ht="12.75">
      <c r="A125" s="90" t="s">
        <v>2636</v>
      </c>
      <c r="B125" s="91" t="s">
        <v>2637</v>
      </c>
      <c r="C125" s="146" t="str">
        <f t="shared" si="0"/>
        <v>3 lat/a od dnia zakupu</v>
      </c>
      <c r="D125" s="146">
        <f>_XLL.NR.SER.DATY(D124,1)</f>
        <v>44743</v>
      </c>
      <c r="E125" s="146">
        <f>_XLL.NR.SER.OST.DN.MIES(D125,0)</f>
        <v>44773</v>
      </c>
      <c r="F125" s="267">
        <v>100</v>
      </c>
      <c r="G125" s="268">
        <v>99.9</v>
      </c>
      <c r="H125" s="269">
        <v>134.5173</v>
      </c>
      <c r="I125" s="269">
        <v>4.1872</v>
      </c>
      <c r="J125" s="148">
        <v>0.06</v>
      </c>
      <c r="K125" s="148">
        <v>0.0719</v>
      </c>
      <c r="L125" s="148">
        <v>0.0695</v>
      </c>
      <c r="M125" s="148">
        <v>0.0582</v>
      </c>
      <c r="N125" s="148"/>
      <c r="O125" s="148"/>
      <c r="P125" s="149">
        <v>3</v>
      </c>
      <c r="Q125" s="149">
        <v>3.6</v>
      </c>
      <c r="R125" s="149">
        <v>3.48</v>
      </c>
      <c r="S125" s="149">
        <v>2.91</v>
      </c>
      <c r="T125" s="149"/>
      <c r="U125" s="149"/>
      <c r="V125" s="149">
        <v>1</v>
      </c>
    </row>
  </sheetData>
  <sheetProtection/>
  <mergeCells count="12">
    <mergeCell ref="G1:G2"/>
    <mergeCell ref="H1:H2"/>
    <mergeCell ref="V1:V2"/>
    <mergeCell ref="I1:I2"/>
    <mergeCell ref="J1:O1"/>
    <mergeCell ref="P1:U1"/>
    <mergeCell ref="A1:A2"/>
    <mergeCell ref="B1:B2"/>
    <mergeCell ref="C1:C2"/>
    <mergeCell ref="D1:D2"/>
    <mergeCell ref="E1:E2"/>
    <mergeCell ref="F1:F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5"/>
  <dimension ref="A1:IV81"/>
  <sheetViews>
    <sheetView zoomScale="115" zoomScaleNormal="115" zoomScalePageLayoutView="0" workbookViewId="0" topLeftCell="A1">
      <pane xSplit="2" ySplit="2" topLeftCell="C6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" sqref="J2"/>
    </sheetView>
  </sheetViews>
  <sheetFormatPr defaultColWidth="0" defaultRowHeight="12.75"/>
  <cols>
    <col min="1" max="1" width="8.375" style="11" bestFit="1" customWidth="1"/>
    <col min="2" max="2" width="15.625" style="11" bestFit="1" customWidth="1"/>
    <col min="3" max="3" width="12.375" style="11" bestFit="1" customWidth="1"/>
    <col min="4" max="4" width="14.125" style="11" customWidth="1"/>
    <col min="5" max="5" width="11.375" style="11" customWidth="1"/>
    <col min="6" max="6" width="16.875" style="11" customWidth="1"/>
    <col min="7" max="7" width="19.875" style="11" bestFit="1" customWidth="1"/>
    <col min="8" max="8" width="17.875" style="11" bestFit="1" customWidth="1"/>
    <col min="9" max="9" width="18.875" style="11" bestFit="1" customWidth="1"/>
    <col min="10" max="10" width="15.50390625" style="20" bestFit="1" customWidth="1"/>
    <col min="11" max="11" width="14.125" style="20" bestFit="1" customWidth="1"/>
    <col min="12" max="16" width="15.00390625" style="20" bestFit="1" customWidth="1"/>
    <col min="17" max="17" width="20.375" style="20" customWidth="1"/>
    <col min="18" max="18" width="16.875" style="11" bestFit="1" customWidth="1"/>
    <col min="19" max="23" width="15.00390625" style="11" bestFit="1" customWidth="1"/>
    <col min="24" max="24" width="19.00390625" style="11" customWidth="1"/>
    <col min="25" max="25" width="16.875" style="11" bestFit="1" customWidth="1"/>
    <col min="26" max="30" width="15.00390625" style="11" bestFit="1" customWidth="1"/>
    <col min="31" max="31" width="16.125" style="11" customWidth="1"/>
    <col min="32" max="34" width="13.00390625" style="1" hidden="1" customWidth="1"/>
    <col min="35" max="35" width="17.125" style="1" hidden="1" customWidth="1"/>
    <col min="36" max="36" width="15.375" style="1" hidden="1" customWidth="1"/>
    <col min="37" max="37" width="13.00390625" style="1" hidden="1" customWidth="1"/>
    <col min="38" max="38" width="14.875" style="1" hidden="1" customWidth="1"/>
    <col min="39" max="16384" width="9.375" style="1" hidden="1" customWidth="1"/>
  </cols>
  <sheetData>
    <row r="1" spans="1:31" s="16" customFormat="1" ht="13.5" thickBot="1">
      <c r="A1" s="364" t="str">
        <f>Seria</f>
        <v>Seria</v>
      </c>
      <c r="B1" s="364" t="str">
        <f>ISIN</f>
        <v>Kod ISIN</v>
      </c>
      <c r="C1" s="362" t="str">
        <f>Wykup</f>
        <v>Data wykupu</v>
      </c>
      <c r="D1" s="366" t="str">
        <f>Siec</f>
        <v>Sprzedaż w sieci</v>
      </c>
      <c r="E1" s="366"/>
      <c r="F1" s="366"/>
      <c r="G1" s="366" t="str">
        <f>subskrypcja2</f>
        <v>Subskrypcja</v>
      </c>
      <c r="H1" s="366"/>
      <c r="I1" s="366"/>
      <c r="J1" s="366"/>
      <c r="K1" s="133" t="str">
        <f aca="true" t="shared" si="0" ref="K1:Q1">Przetarg&amp;" Nr 1"</f>
        <v>Przetarg Nr 1</v>
      </c>
      <c r="L1" s="133" t="str">
        <f t="shared" si="0"/>
        <v>Przetarg Nr 1</v>
      </c>
      <c r="M1" s="133" t="str">
        <f t="shared" si="0"/>
        <v>Przetarg Nr 1</v>
      </c>
      <c r="N1" s="133" t="str">
        <f t="shared" si="0"/>
        <v>Przetarg Nr 1</v>
      </c>
      <c r="O1" s="133" t="str">
        <f t="shared" si="0"/>
        <v>Przetarg Nr 1</v>
      </c>
      <c r="P1" s="133" t="str">
        <f t="shared" si="0"/>
        <v>Przetarg Nr 1</v>
      </c>
      <c r="Q1" s="133" t="str">
        <f t="shared" si="0"/>
        <v>Przetarg Nr 1</v>
      </c>
      <c r="R1" s="133" t="str">
        <f>Przetarg&amp;" Nr 2"</f>
        <v>Przetarg Nr 2</v>
      </c>
      <c r="S1" s="133" t="str">
        <f aca="true" t="shared" si="1" ref="S1:X1">Przetarg&amp;" Nr 2"</f>
        <v>Przetarg Nr 2</v>
      </c>
      <c r="T1" s="133" t="str">
        <f t="shared" si="1"/>
        <v>Przetarg Nr 2</v>
      </c>
      <c r="U1" s="133" t="str">
        <f t="shared" si="1"/>
        <v>Przetarg Nr 2</v>
      </c>
      <c r="V1" s="133" t="str">
        <f t="shared" si="1"/>
        <v>Przetarg Nr 2</v>
      </c>
      <c r="W1" s="133" t="str">
        <f t="shared" si="1"/>
        <v>Przetarg Nr 2</v>
      </c>
      <c r="X1" s="133" t="str">
        <f t="shared" si="1"/>
        <v>Przetarg Nr 2</v>
      </c>
      <c r="Y1" s="133" t="str">
        <f>Przetarg&amp;" Nr 3"</f>
        <v>Przetarg Nr 3</v>
      </c>
      <c r="Z1" s="133" t="str">
        <f aca="true" t="shared" si="2" ref="Z1:AE1">Przetarg&amp;" Nr 3"</f>
        <v>Przetarg Nr 3</v>
      </c>
      <c r="AA1" s="133" t="str">
        <f t="shared" si="2"/>
        <v>Przetarg Nr 3</v>
      </c>
      <c r="AB1" s="133" t="str">
        <f t="shared" si="2"/>
        <v>Przetarg Nr 3</v>
      </c>
      <c r="AC1" s="133" t="str">
        <f t="shared" si="2"/>
        <v>Przetarg Nr 3</v>
      </c>
      <c r="AD1" s="133" t="str">
        <f t="shared" si="2"/>
        <v>Przetarg Nr 3</v>
      </c>
      <c r="AE1" s="133" t="str">
        <f t="shared" si="2"/>
        <v>Przetarg Nr 3</v>
      </c>
    </row>
    <row r="2" spans="1:31" s="16" customFormat="1" ht="30.75" customHeight="1" thickBot="1">
      <c r="A2" s="365"/>
      <c r="B2" s="365"/>
      <c r="C2" s="363"/>
      <c r="D2" s="132" t="str">
        <f>PoczatekSprzedazy</f>
        <v>Początek sprzedaży</v>
      </c>
      <c r="E2" s="132" t="str">
        <f>CenaEmisyjna</f>
        <v>Cena emisyjna</v>
      </c>
      <c r="F2" s="132" t="str">
        <f>Sprzedaz&amp;" (mln zł)"</f>
        <v>Sprzedaż łączna (mln zł)</v>
      </c>
      <c r="G2" s="132" t="str">
        <f>Poczatek&amp;Subskrypcja</f>
        <v>Począteksubskrypcji</v>
      </c>
      <c r="H2" s="132" t="str">
        <f>Koniec&amp;Subskrypcja</f>
        <v>Koniecsubskrypcji</v>
      </c>
      <c r="I2" s="132" t="str">
        <f>CenaSubskrypcyjna</f>
        <v>Cena subskrypcyjna</v>
      </c>
      <c r="J2" s="132" t="str">
        <f>Sprzedaz&amp;" (mln zł)"</f>
        <v>Sprzedaż łączna (mln zł)</v>
      </c>
      <c r="K2" s="132" t="str">
        <f>DataPrzetargu</f>
        <v>Data przetargu</v>
      </c>
      <c r="L2" s="132" t="str">
        <f>Zaplata</f>
        <v>Data zapłaty</v>
      </c>
      <c r="M2" s="132" t="str">
        <f>CenaMin</f>
        <v>Cena min.</v>
      </c>
      <c r="N2" s="132" t="str">
        <f>CenaSr</f>
        <v>Cena śr.</v>
      </c>
      <c r="O2" s="132" t="str">
        <f>Podaz</f>
        <v>Podaż</v>
      </c>
      <c r="P2" s="132" t="str">
        <f>Popyt</f>
        <v>Popyt</v>
      </c>
      <c r="Q2" s="132" t="str">
        <f>Sprzedaz</f>
        <v>Sprzedaż łączna</v>
      </c>
      <c r="R2" s="132" t="str">
        <f>DataPrzetargu</f>
        <v>Data przetargu</v>
      </c>
      <c r="S2" s="132" t="str">
        <f>Zaplata</f>
        <v>Data zapłaty</v>
      </c>
      <c r="T2" s="132" t="str">
        <f>CenaMin</f>
        <v>Cena min.</v>
      </c>
      <c r="U2" s="132" t="str">
        <f>CenaSr</f>
        <v>Cena śr.</v>
      </c>
      <c r="V2" s="132" t="str">
        <f>Podaz</f>
        <v>Podaż</v>
      </c>
      <c r="W2" s="132" t="str">
        <f>Popyt</f>
        <v>Popyt</v>
      </c>
      <c r="X2" s="132" t="str">
        <f>Sprzedaz</f>
        <v>Sprzedaż łączna</v>
      </c>
      <c r="Y2" s="132" t="str">
        <f>DataPrzetargu</f>
        <v>Data przetargu</v>
      </c>
      <c r="Z2" s="132" t="str">
        <f>Zaplata</f>
        <v>Data zapłaty</v>
      </c>
      <c r="AA2" s="132" t="str">
        <f>CenaMin</f>
        <v>Cena min.</v>
      </c>
      <c r="AB2" s="132" t="str">
        <f>CenaSr</f>
        <v>Cena śr.</v>
      </c>
      <c r="AC2" s="132" t="str">
        <f>Podaz</f>
        <v>Podaż</v>
      </c>
      <c r="AD2" s="132" t="str">
        <f>Popyt</f>
        <v>Popyt</v>
      </c>
      <c r="AE2" s="132" t="str">
        <f>Sprzedaz</f>
        <v>Sprzedaż łączna</v>
      </c>
    </row>
    <row r="3" spans="1:114" ht="12.75">
      <c r="A3" s="279" t="s">
        <v>50</v>
      </c>
      <c r="B3" s="280" t="s">
        <v>206</v>
      </c>
      <c r="C3" s="281">
        <v>34914</v>
      </c>
      <c r="D3" s="281">
        <v>33819</v>
      </c>
      <c r="E3" s="282">
        <v>100</v>
      </c>
      <c r="F3" s="223">
        <v>24.0983</v>
      </c>
      <c r="G3" s="283" t="s">
        <v>8</v>
      </c>
      <c r="H3" s="283" t="s">
        <v>8</v>
      </c>
      <c r="I3" s="284" t="s">
        <v>8</v>
      </c>
      <c r="J3" s="285" t="s">
        <v>8</v>
      </c>
      <c r="K3" s="160">
        <v>33813</v>
      </c>
      <c r="L3" s="160">
        <v>33815</v>
      </c>
      <c r="M3" s="286">
        <v>99.21</v>
      </c>
      <c r="N3" s="286">
        <v>99.67</v>
      </c>
      <c r="O3" s="286">
        <v>80</v>
      </c>
      <c r="P3" s="287">
        <v>68</v>
      </c>
      <c r="Q3" s="288">
        <v>43</v>
      </c>
      <c r="R3" s="283" t="s">
        <v>8</v>
      </c>
      <c r="S3" s="283" t="s">
        <v>8</v>
      </c>
      <c r="T3" s="283" t="s">
        <v>8</v>
      </c>
      <c r="U3" s="283" t="s">
        <v>8</v>
      </c>
      <c r="V3" s="283" t="s">
        <v>8</v>
      </c>
      <c r="W3" s="283" t="s">
        <v>8</v>
      </c>
      <c r="X3" s="283" t="s">
        <v>8</v>
      </c>
      <c r="Y3" s="289" t="s">
        <v>8</v>
      </c>
      <c r="Z3" s="289" t="s">
        <v>8</v>
      </c>
      <c r="AA3" s="283" t="s">
        <v>8</v>
      </c>
      <c r="AB3" s="283" t="s">
        <v>8</v>
      </c>
      <c r="AC3" s="283" t="s">
        <v>8</v>
      </c>
      <c r="AD3" s="283" t="s">
        <v>8</v>
      </c>
      <c r="AE3" s="283" t="s">
        <v>8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</row>
    <row r="4" spans="1:31" s="24" customFormat="1" ht="12.75">
      <c r="A4" s="290" t="s">
        <v>51</v>
      </c>
      <c r="B4" s="291" t="s">
        <v>135</v>
      </c>
      <c r="C4" s="292">
        <v>35005</v>
      </c>
      <c r="D4" s="292">
        <v>33910</v>
      </c>
      <c r="E4" s="293">
        <v>100</v>
      </c>
      <c r="F4" s="294">
        <v>40.462</v>
      </c>
      <c r="G4" s="111" t="s">
        <v>8</v>
      </c>
      <c r="H4" s="111" t="s">
        <v>8</v>
      </c>
      <c r="I4" s="293" t="s">
        <v>8</v>
      </c>
      <c r="J4" s="171" t="s">
        <v>8</v>
      </c>
      <c r="K4" s="111">
        <v>33904</v>
      </c>
      <c r="L4" s="111">
        <v>33906</v>
      </c>
      <c r="M4" s="295">
        <v>98.9</v>
      </c>
      <c r="N4" s="295">
        <v>99.39</v>
      </c>
      <c r="O4" s="296">
        <v>80</v>
      </c>
      <c r="P4" s="295">
        <v>29</v>
      </c>
      <c r="Q4" s="295">
        <v>29</v>
      </c>
      <c r="R4" s="111" t="s">
        <v>8</v>
      </c>
      <c r="S4" s="111" t="s">
        <v>8</v>
      </c>
      <c r="T4" s="111" t="s">
        <v>8</v>
      </c>
      <c r="U4" s="111" t="s">
        <v>8</v>
      </c>
      <c r="V4" s="297" t="s">
        <v>8</v>
      </c>
      <c r="W4" s="111" t="s">
        <v>8</v>
      </c>
      <c r="X4" s="111" t="s">
        <v>8</v>
      </c>
      <c r="Y4" s="111" t="s">
        <v>8</v>
      </c>
      <c r="Z4" s="111" t="s">
        <v>8</v>
      </c>
      <c r="AA4" s="111" t="s">
        <v>8</v>
      </c>
      <c r="AB4" s="111" t="s">
        <v>8</v>
      </c>
      <c r="AC4" s="297" t="s">
        <v>8</v>
      </c>
      <c r="AD4" s="111" t="s">
        <v>8</v>
      </c>
      <c r="AE4" s="298" t="s">
        <v>8</v>
      </c>
    </row>
    <row r="5" spans="1:31" ht="12.75">
      <c r="A5" s="299" t="s">
        <v>52</v>
      </c>
      <c r="B5" s="300" t="s">
        <v>136</v>
      </c>
      <c r="C5" s="301">
        <v>35098</v>
      </c>
      <c r="D5" s="301">
        <v>34003</v>
      </c>
      <c r="E5" s="302">
        <v>100</v>
      </c>
      <c r="F5" s="303">
        <v>26.7934</v>
      </c>
      <c r="G5" s="109" t="s">
        <v>8</v>
      </c>
      <c r="H5" s="109" t="s">
        <v>8</v>
      </c>
      <c r="I5" s="302" t="s">
        <v>8</v>
      </c>
      <c r="J5" s="167" t="s">
        <v>8</v>
      </c>
      <c r="K5" s="109">
        <v>33995</v>
      </c>
      <c r="L5" s="109">
        <v>33997</v>
      </c>
      <c r="M5" s="288">
        <v>98.51</v>
      </c>
      <c r="N5" s="288">
        <v>99.2</v>
      </c>
      <c r="O5" s="304">
        <v>80</v>
      </c>
      <c r="P5" s="288">
        <v>36</v>
      </c>
      <c r="Q5" s="288">
        <v>34</v>
      </c>
      <c r="R5" s="109" t="s">
        <v>8</v>
      </c>
      <c r="S5" s="109" t="s">
        <v>8</v>
      </c>
      <c r="T5" s="109" t="s">
        <v>8</v>
      </c>
      <c r="U5" s="109" t="s">
        <v>8</v>
      </c>
      <c r="V5" s="305" t="s">
        <v>8</v>
      </c>
      <c r="W5" s="109" t="s">
        <v>8</v>
      </c>
      <c r="X5" s="109" t="s">
        <v>8</v>
      </c>
      <c r="Y5" s="109" t="s">
        <v>8</v>
      </c>
      <c r="Z5" s="109" t="s">
        <v>8</v>
      </c>
      <c r="AA5" s="109" t="s">
        <v>8</v>
      </c>
      <c r="AB5" s="109" t="s">
        <v>8</v>
      </c>
      <c r="AC5" s="305" t="s">
        <v>8</v>
      </c>
      <c r="AD5" s="109" t="s">
        <v>8</v>
      </c>
      <c r="AE5" s="306" t="s">
        <v>8</v>
      </c>
    </row>
    <row r="6" spans="1:114" ht="12.75">
      <c r="A6" s="299" t="s">
        <v>53</v>
      </c>
      <c r="B6" s="300" t="s">
        <v>137</v>
      </c>
      <c r="C6" s="301">
        <v>35189</v>
      </c>
      <c r="D6" s="301">
        <v>34093</v>
      </c>
      <c r="E6" s="302">
        <v>100</v>
      </c>
      <c r="F6" s="223">
        <v>13.3007</v>
      </c>
      <c r="G6" s="307" t="s">
        <v>8</v>
      </c>
      <c r="H6" s="307" t="s">
        <v>8</v>
      </c>
      <c r="I6" s="308" t="s">
        <v>8</v>
      </c>
      <c r="J6" s="309" t="s">
        <v>8</v>
      </c>
      <c r="K6" s="109">
        <v>34086</v>
      </c>
      <c r="L6" s="109">
        <v>34088</v>
      </c>
      <c r="M6" s="288">
        <v>97</v>
      </c>
      <c r="N6" s="288">
        <v>98.65</v>
      </c>
      <c r="O6" s="288">
        <v>80</v>
      </c>
      <c r="P6" s="310">
        <v>19</v>
      </c>
      <c r="Q6" s="288">
        <v>17</v>
      </c>
      <c r="R6" s="307" t="s">
        <v>8</v>
      </c>
      <c r="S6" s="307" t="s">
        <v>8</v>
      </c>
      <c r="T6" s="307" t="s">
        <v>8</v>
      </c>
      <c r="U6" s="307" t="s">
        <v>8</v>
      </c>
      <c r="V6" s="307" t="s">
        <v>8</v>
      </c>
      <c r="W6" s="307" t="s">
        <v>8</v>
      </c>
      <c r="X6" s="307" t="s">
        <v>8</v>
      </c>
      <c r="Y6" s="305" t="s">
        <v>8</v>
      </c>
      <c r="Z6" s="305" t="s">
        <v>8</v>
      </c>
      <c r="AA6" s="307" t="s">
        <v>8</v>
      </c>
      <c r="AB6" s="307" t="s">
        <v>8</v>
      </c>
      <c r="AC6" s="307" t="s">
        <v>8</v>
      </c>
      <c r="AD6" s="307" t="s">
        <v>8</v>
      </c>
      <c r="AE6" s="307" t="s">
        <v>8</v>
      </c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</row>
    <row r="7" spans="1:114" ht="12.75">
      <c r="A7" s="299" t="s">
        <v>54</v>
      </c>
      <c r="B7" s="300" t="s">
        <v>138</v>
      </c>
      <c r="C7" s="301">
        <v>35282</v>
      </c>
      <c r="D7" s="301">
        <v>34185</v>
      </c>
      <c r="E7" s="302">
        <v>100</v>
      </c>
      <c r="F7" s="223">
        <v>13.9749</v>
      </c>
      <c r="G7" s="307" t="s">
        <v>8</v>
      </c>
      <c r="H7" s="307" t="s">
        <v>8</v>
      </c>
      <c r="I7" s="308" t="s">
        <v>8</v>
      </c>
      <c r="J7" s="309" t="s">
        <v>8</v>
      </c>
      <c r="K7" s="109">
        <v>34177</v>
      </c>
      <c r="L7" s="109">
        <v>34185</v>
      </c>
      <c r="M7" s="288">
        <v>97.1</v>
      </c>
      <c r="N7" s="288">
        <v>98.1</v>
      </c>
      <c r="O7" s="288">
        <v>80</v>
      </c>
      <c r="P7" s="310">
        <v>9</v>
      </c>
      <c r="Q7" s="288">
        <v>6</v>
      </c>
      <c r="R7" s="307" t="s">
        <v>8</v>
      </c>
      <c r="S7" s="307" t="s">
        <v>8</v>
      </c>
      <c r="T7" s="307" t="s">
        <v>8</v>
      </c>
      <c r="U7" s="307" t="s">
        <v>8</v>
      </c>
      <c r="V7" s="307" t="s">
        <v>8</v>
      </c>
      <c r="W7" s="307" t="s">
        <v>8</v>
      </c>
      <c r="X7" s="307" t="s">
        <v>8</v>
      </c>
      <c r="Y7" s="305" t="s">
        <v>8</v>
      </c>
      <c r="Z7" s="305" t="s">
        <v>8</v>
      </c>
      <c r="AA7" s="307" t="s">
        <v>8</v>
      </c>
      <c r="AB7" s="307" t="s">
        <v>8</v>
      </c>
      <c r="AC7" s="307" t="s">
        <v>8</v>
      </c>
      <c r="AD7" s="307" t="s">
        <v>8</v>
      </c>
      <c r="AE7" s="307" t="s">
        <v>8</v>
      </c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</row>
    <row r="8" spans="1:31" s="24" customFormat="1" ht="12.75">
      <c r="A8" s="290" t="s">
        <v>55</v>
      </c>
      <c r="B8" s="291" t="s">
        <v>139</v>
      </c>
      <c r="C8" s="292">
        <v>35374</v>
      </c>
      <c r="D8" s="292">
        <v>34277</v>
      </c>
      <c r="E8" s="293">
        <v>98</v>
      </c>
      <c r="F8" s="294">
        <v>204.2154</v>
      </c>
      <c r="G8" s="111" t="s">
        <v>8</v>
      </c>
      <c r="H8" s="111" t="s">
        <v>8</v>
      </c>
      <c r="I8" s="293" t="s">
        <v>8</v>
      </c>
      <c r="J8" s="171" t="s">
        <v>8</v>
      </c>
      <c r="K8" s="111">
        <v>34268</v>
      </c>
      <c r="L8" s="111">
        <v>34277</v>
      </c>
      <c r="M8" s="295">
        <v>98.1</v>
      </c>
      <c r="N8" s="295">
        <v>98.48</v>
      </c>
      <c r="O8" s="296">
        <v>80</v>
      </c>
      <c r="P8" s="295">
        <v>23</v>
      </c>
      <c r="Q8" s="295">
        <v>20</v>
      </c>
      <c r="R8" s="111" t="s">
        <v>8</v>
      </c>
      <c r="S8" s="111" t="s">
        <v>8</v>
      </c>
      <c r="T8" s="111" t="s">
        <v>8</v>
      </c>
      <c r="U8" s="111" t="s">
        <v>8</v>
      </c>
      <c r="V8" s="297" t="s">
        <v>8</v>
      </c>
      <c r="W8" s="111" t="s">
        <v>8</v>
      </c>
      <c r="X8" s="111" t="s">
        <v>8</v>
      </c>
      <c r="Y8" s="111" t="s">
        <v>8</v>
      </c>
      <c r="Z8" s="111" t="s">
        <v>8</v>
      </c>
      <c r="AA8" s="111" t="s">
        <v>8</v>
      </c>
      <c r="AB8" s="111" t="s">
        <v>8</v>
      </c>
      <c r="AC8" s="297" t="s">
        <v>8</v>
      </c>
      <c r="AD8" s="111" t="s">
        <v>8</v>
      </c>
      <c r="AE8" s="311" t="s">
        <v>8</v>
      </c>
    </row>
    <row r="9" spans="1:31" ht="12.75">
      <c r="A9" s="299" t="s">
        <v>56</v>
      </c>
      <c r="B9" s="300" t="s">
        <v>140</v>
      </c>
      <c r="C9" s="301">
        <v>35466</v>
      </c>
      <c r="D9" s="301">
        <v>34369</v>
      </c>
      <c r="E9" s="302">
        <v>98</v>
      </c>
      <c r="F9" s="303">
        <v>118.5703</v>
      </c>
      <c r="G9" s="109" t="s">
        <v>8</v>
      </c>
      <c r="H9" s="109" t="s">
        <v>8</v>
      </c>
      <c r="I9" s="302" t="s">
        <v>8</v>
      </c>
      <c r="J9" s="167" t="s">
        <v>8</v>
      </c>
      <c r="K9" s="109">
        <v>34359</v>
      </c>
      <c r="L9" s="109">
        <v>34369</v>
      </c>
      <c r="M9" s="288">
        <v>97.21</v>
      </c>
      <c r="N9" s="288">
        <v>97.68</v>
      </c>
      <c r="O9" s="304">
        <v>80</v>
      </c>
      <c r="P9" s="288">
        <v>87</v>
      </c>
      <c r="Q9" s="288">
        <v>44</v>
      </c>
      <c r="R9" s="109" t="s">
        <v>8</v>
      </c>
      <c r="S9" s="109" t="s">
        <v>8</v>
      </c>
      <c r="T9" s="109" t="s">
        <v>8</v>
      </c>
      <c r="U9" s="109" t="s">
        <v>8</v>
      </c>
      <c r="V9" s="305" t="s">
        <v>8</v>
      </c>
      <c r="W9" s="109" t="s">
        <v>8</v>
      </c>
      <c r="X9" s="109" t="s">
        <v>8</v>
      </c>
      <c r="Y9" s="109" t="s">
        <v>8</v>
      </c>
      <c r="Z9" s="109" t="s">
        <v>8</v>
      </c>
      <c r="AA9" s="109" t="s">
        <v>8</v>
      </c>
      <c r="AB9" s="109" t="s">
        <v>8</v>
      </c>
      <c r="AC9" s="305" t="s">
        <v>8</v>
      </c>
      <c r="AD9" s="109" t="s">
        <v>8</v>
      </c>
      <c r="AE9" s="306" t="s">
        <v>8</v>
      </c>
    </row>
    <row r="10" spans="1:114" ht="12.75">
      <c r="A10" s="299" t="s">
        <v>57</v>
      </c>
      <c r="B10" s="300" t="s">
        <v>141</v>
      </c>
      <c r="C10" s="301">
        <v>35555</v>
      </c>
      <c r="D10" s="301">
        <v>34458</v>
      </c>
      <c r="E10" s="302">
        <v>98</v>
      </c>
      <c r="F10" s="223">
        <v>369.2395</v>
      </c>
      <c r="G10" s="307" t="s">
        <v>8</v>
      </c>
      <c r="H10" s="307" t="s">
        <v>8</v>
      </c>
      <c r="I10" s="308" t="s">
        <v>8</v>
      </c>
      <c r="J10" s="309" t="s">
        <v>8</v>
      </c>
      <c r="K10" s="109">
        <v>34450</v>
      </c>
      <c r="L10" s="109">
        <v>34458</v>
      </c>
      <c r="M10" s="288">
        <v>97.5</v>
      </c>
      <c r="N10" s="288">
        <v>98.13</v>
      </c>
      <c r="O10" s="288">
        <v>80</v>
      </c>
      <c r="P10" s="310">
        <v>52</v>
      </c>
      <c r="Q10" s="288">
        <v>24</v>
      </c>
      <c r="R10" s="307" t="s">
        <v>8</v>
      </c>
      <c r="S10" s="307" t="s">
        <v>8</v>
      </c>
      <c r="T10" s="307" t="s">
        <v>8</v>
      </c>
      <c r="U10" s="307" t="s">
        <v>8</v>
      </c>
      <c r="V10" s="307" t="s">
        <v>8</v>
      </c>
      <c r="W10" s="307" t="s">
        <v>8</v>
      </c>
      <c r="X10" s="307" t="s">
        <v>8</v>
      </c>
      <c r="Y10" s="305" t="s">
        <v>8</v>
      </c>
      <c r="Z10" s="305" t="s">
        <v>8</v>
      </c>
      <c r="AA10" s="307" t="s">
        <v>8</v>
      </c>
      <c r="AB10" s="307" t="s">
        <v>8</v>
      </c>
      <c r="AC10" s="307" t="s">
        <v>8</v>
      </c>
      <c r="AD10" s="307" t="s">
        <v>8</v>
      </c>
      <c r="AE10" s="307" t="s">
        <v>8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</row>
    <row r="11" spans="1:114" ht="12.75">
      <c r="A11" s="299" t="s">
        <v>58</v>
      </c>
      <c r="B11" s="300" t="s">
        <v>142</v>
      </c>
      <c r="C11" s="301">
        <v>35651</v>
      </c>
      <c r="D11" s="301">
        <v>34548</v>
      </c>
      <c r="E11" s="302">
        <v>100</v>
      </c>
      <c r="F11" s="223">
        <v>129.465</v>
      </c>
      <c r="G11" s="307" t="s">
        <v>8</v>
      </c>
      <c r="H11" s="307" t="s">
        <v>8</v>
      </c>
      <c r="I11" s="308" t="s">
        <v>8</v>
      </c>
      <c r="J11" s="309" t="s">
        <v>8</v>
      </c>
      <c r="K11" s="109">
        <v>34541</v>
      </c>
      <c r="L11" s="109">
        <v>34548</v>
      </c>
      <c r="M11" s="288">
        <v>99.25</v>
      </c>
      <c r="N11" s="288">
        <v>99.63</v>
      </c>
      <c r="O11" s="288">
        <v>120</v>
      </c>
      <c r="P11" s="310">
        <v>139</v>
      </c>
      <c r="Q11" s="288">
        <v>27</v>
      </c>
      <c r="R11" s="307" t="s">
        <v>8</v>
      </c>
      <c r="S11" s="307" t="s">
        <v>8</v>
      </c>
      <c r="T11" s="307" t="s">
        <v>8</v>
      </c>
      <c r="U11" s="307" t="s">
        <v>8</v>
      </c>
      <c r="V11" s="307" t="s">
        <v>8</v>
      </c>
      <c r="W11" s="307" t="s">
        <v>8</v>
      </c>
      <c r="X11" s="307" t="s">
        <v>8</v>
      </c>
      <c r="Y11" s="305" t="s">
        <v>8</v>
      </c>
      <c r="Z11" s="305" t="s">
        <v>8</v>
      </c>
      <c r="AA11" s="307" t="s">
        <v>8</v>
      </c>
      <c r="AB11" s="307" t="s">
        <v>8</v>
      </c>
      <c r="AC11" s="307" t="s">
        <v>8</v>
      </c>
      <c r="AD11" s="307" t="s">
        <v>8</v>
      </c>
      <c r="AE11" s="307" t="s">
        <v>8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</row>
    <row r="12" spans="1:31" s="24" customFormat="1" ht="12.75">
      <c r="A12" s="290" t="s">
        <v>59</v>
      </c>
      <c r="B12" s="291" t="s">
        <v>143</v>
      </c>
      <c r="C12" s="292">
        <v>35743</v>
      </c>
      <c r="D12" s="292">
        <v>34640</v>
      </c>
      <c r="E12" s="293">
        <v>100</v>
      </c>
      <c r="F12" s="294">
        <v>323.535</v>
      </c>
      <c r="G12" s="111" t="s">
        <v>8</v>
      </c>
      <c r="H12" s="111" t="s">
        <v>8</v>
      </c>
      <c r="I12" s="293" t="s">
        <v>8</v>
      </c>
      <c r="J12" s="171" t="s">
        <v>8</v>
      </c>
      <c r="K12" s="111">
        <v>34632</v>
      </c>
      <c r="L12" s="111">
        <v>34640</v>
      </c>
      <c r="M12" s="295">
        <v>99.25</v>
      </c>
      <c r="N12" s="295">
        <v>99.58</v>
      </c>
      <c r="O12" s="296">
        <v>120</v>
      </c>
      <c r="P12" s="295">
        <v>141.83</v>
      </c>
      <c r="Q12" s="295">
        <v>120</v>
      </c>
      <c r="R12" s="111" t="s">
        <v>8</v>
      </c>
      <c r="S12" s="111" t="s">
        <v>8</v>
      </c>
      <c r="T12" s="111" t="s">
        <v>8</v>
      </c>
      <c r="U12" s="111" t="s">
        <v>8</v>
      </c>
      <c r="V12" s="297" t="s">
        <v>8</v>
      </c>
      <c r="W12" s="111" t="s">
        <v>8</v>
      </c>
      <c r="X12" s="111" t="s">
        <v>8</v>
      </c>
      <c r="Y12" s="111" t="s">
        <v>8</v>
      </c>
      <c r="Z12" s="111" t="s">
        <v>8</v>
      </c>
      <c r="AA12" s="111" t="s">
        <v>8</v>
      </c>
      <c r="AB12" s="111" t="s">
        <v>8</v>
      </c>
      <c r="AC12" s="297" t="s">
        <v>8</v>
      </c>
      <c r="AD12" s="111" t="s">
        <v>8</v>
      </c>
      <c r="AE12" s="311" t="s">
        <v>8</v>
      </c>
    </row>
    <row r="13" spans="1:31" ht="12.75">
      <c r="A13" s="299" t="s">
        <v>60</v>
      </c>
      <c r="B13" s="300" t="s">
        <v>144</v>
      </c>
      <c r="C13" s="301">
        <v>35835</v>
      </c>
      <c r="D13" s="301">
        <v>34731</v>
      </c>
      <c r="E13" s="302">
        <v>101</v>
      </c>
      <c r="F13" s="303">
        <v>160</v>
      </c>
      <c r="G13" s="109" t="s">
        <v>8</v>
      </c>
      <c r="H13" s="109" t="s">
        <v>8</v>
      </c>
      <c r="I13" s="302" t="s">
        <v>8</v>
      </c>
      <c r="J13" s="167" t="s">
        <v>8</v>
      </c>
      <c r="K13" s="109">
        <v>34723</v>
      </c>
      <c r="L13" s="109">
        <v>34731</v>
      </c>
      <c r="M13" s="288">
        <v>99.9</v>
      </c>
      <c r="N13" s="288">
        <v>100.21</v>
      </c>
      <c r="O13" s="304">
        <v>150</v>
      </c>
      <c r="P13" s="288">
        <v>313.6</v>
      </c>
      <c r="Q13" s="288">
        <v>140</v>
      </c>
      <c r="R13" s="109" t="s">
        <v>8</v>
      </c>
      <c r="S13" s="109" t="s">
        <v>8</v>
      </c>
      <c r="T13" s="109" t="s">
        <v>8</v>
      </c>
      <c r="U13" s="109" t="s">
        <v>8</v>
      </c>
      <c r="V13" s="305" t="s">
        <v>8</v>
      </c>
      <c r="W13" s="109" t="s">
        <v>8</v>
      </c>
      <c r="X13" s="109" t="s">
        <v>8</v>
      </c>
      <c r="Y13" s="109" t="s">
        <v>8</v>
      </c>
      <c r="Z13" s="109" t="s">
        <v>8</v>
      </c>
      <c r="AA13" s="109" t="s">
        <v>8</v>
      </c>
      <c r="AB13" s="109" t="s">
        <v>8</v>
      </c>
      <c r="AC13" s="305" t="s">
        <v>8</v>
      </c>
      <c r="AD13" s="109" t="s">
        <v>8</v>
      </c>
      <c r="AE13" s="306" t="s">
        <v>8</v>
      </c>
    </row>
    <row r="14" spans="1:31" ht="12.75">
      <c r="A14" s="299" t="s">
        <v>61</v>
      </c>
      <c r="B14" s="300" t="s">
        <v>145</v>
      </c>
      <c r="C14" s="301">
        <v>35924</v>
      </c>
      <c r="D14" s="301">
        <v>34823</v>
      </c>
      <c r="E14" s="302">
        <v>102.5</v>
      </c>
      <c r="F14" s="303">
        <v>150</v>
      </c>
      <c r="G14" s="109" t="s">
        <v>8</v>
      </c>
      <c r="H14" s="109" t="s">
        <v>8</v>
      </c>
      <c r="I14" s="302" t="s">
        <v>8</v>
      </c>
      <c r="J14" s="167" t="s">
        <v>8</v>
      </c>
      <c r="K14" s="109">
        <v>34814</v>
      </c>
      <c r="L14" s="109">
        <v>34823</v>
      </c>
      <c r="M14" s="288">
        <v>101.3</v>
      </c>
      <c r="N14" s="288">
        <v>101.88</v>
      </c>
      <c r="O14" s="304">
        <v>150</v>
      </c>
      <c r="P14" s="288">
        <v>467.1326</v>
      </c>
      <c r="Q14" s="288">
        <v>150</v>
      </c>
      <c r="R14" s="109" t="s">
        <v>8</v>
      </c>
      <c r="S14" s="109" t="s">
        <v>8</v>
      </c>
      <c r="T14" s="109" t="s">
        <v>8</v>
      </c>
      <c r="U14" s="109" t="s">
        <v>8</v>
      </c>
      <c r="V14" s="305" t="s">
        <v>8</v>
      </c>
      <c r="W14" s="109" t="s">
        <v>8</v>
      </c>
      <c r="X14" s="109" t="s">
        <v>8</v>
      </c>
      <c r="Y14" s="109" t="s">
        <v>8</v>
      </c>
      <c r="Z14" s="109" t="s">
        <v>8</v>
      </c>
      <c r="AA14" s="109" t="s">
        <v>8</v>
      </c>
      <c r="AB14" s="109" t="s">
        <v>8</v>
      </c>
      <c r="AC14" s="305" t="s">
        <v>8</v>
      </c>
      <c r="AD14" s="109" t="s">
        <v>8</v>
      </c>
      <c r="AE14" s="306" t="s">
        <v>8</v>
      </c>
    </row>
    <row r="15" spans="1:31" ht="12.75">
      <c r="A15" s="299" t="s">
        <v>62</v>
      </c>
      <c r="B15" s="300" t="s">
        <v>146</v>
      </c>
      <c r="C15" s="301">
        <v>36013</v>
      </c>
      <c r="D15" s="301">
        <v>34912</v>
      </c>
      <c r="E15" s="302">
        <v>103</v>
      </c>
      <c r="F15" s="303">
        <v>273.5988</v>
      </c>
      <c r="G15" s="109" t="s">
        <v>8</v>
      </c>
      <c r="H15" s="109" t="s">
        <v>8</v>
      </c>
      <c r="I15" s="302" t="s">
        <v>8</v>
      </c>
      <c r="J15" s="167" t="s">
        <v>8</v>
      </c>
      <c r="K15" s="109">
        <v>34905</v>
      </c>
      <c r="L15" s="109">
        <v>34912</v>
      </c>
      <c r="M15" s="288">
        <v>101.6</v>
      </c>
      <c r="N15" s="288">
        <v>102.02</v>
      </c>
      <c r="O15" s="304">
        <v>300</v>
      </c>
      <c r="P15" s="288">
        <v>430.56</v>
      </c>
      <c r="Q15" s="288">
        <v>300</v>
      </c>
      <c r="R15" s="109" t="s">
        <v>8</v>
      </c>
      <c r="S15" s="109" t="s">
        <v>8</v>
      </c>
      <c r="T15" s="109" t="s">
        <v>8</v>
      </c>
      <c r="U15" s="109" t="s">
        <v>8</v>
      </c>
      <c r="V15" s="305" t="s">
        <v>8</v>
      </c>
      <c r="W15" s="109" t="s">
        <v>8</v>
      </c>
      <c r="X15" s="109" t="s">
        <v>8</v>
      </c>
      <c r="Y15" s="109" t="s">
        <v>8</v>
      </c>
      <c r="Z15" s="109" t="s">
        <v>8</v>
      </c>
      <c r="AA15" s="109" t="s">
        <v>8</v>
      </c>
      <c r="AB15" s="109" t="s">
        <v>8</v>
      </c>
      <c r="AC15" s="305" t="s">
        <v>8</v>
      </c>
      <c r="AD15" s="109" t="s">
        <v>8</v>
      </c>
      <c r="AE15" s="306" t="s">
        <v>8</v>
      </c>
    </row>
    <row r="16" spans="1:31" s="24" customFormat="1" ht="12.75">
      <c r="A16" s="290" t="s">
        <v>63</v>
      </c>
      <c r="B16" s="291" t="s">
        <v>147</v>
      </c>
      <c r="C16" s="292">
        <v>36105</v>
      </c>
      <c r="D16" s="292">
        <v>35005</v>
      </c>
      <c r="E16" s="293">
        <v>103</v>
      </c>
      <c r="F16" s="294">
        <v>418.4569</v>
      </c>
      <c r="G16" s="111" t="s">
        <v>8</v>
      </c>
      <c r="H16" s="111" t="s">
        <v>8</v>
      </c>
      <c r="I16" s="293" t="s">
        <v>8</v>
      </c>
      <c r="J16" s="171" t="s">
        <v>8</v>
      </c>
      <c r="K16" s="111">
        <v>34996</v>
      </c>
      <c r="L16" s="111">
        <v>35005</v>
      </c>
      <c r="M16" s="295">
        <v>101.8</v>
      </c>
      <c r="N16" s="295">
        <v>102.07</v>
      </c>
      <c r="O16" s="296">
        <v>400</v>
      </c>
      <c r="P16" s="295">
        <v>939.8388</v>
      </c>
      <c r="Q16" s="295">
        <v>400</v>
      </c>
      <c r="R16" s="111" t="s">
        <v>8</v>
      </c>
      <c r="S16" s="111" t="s">
        <v>8</v>
      </c>
      <c r="T16" s="295" t="s">
        <v>8</v>
      </c>
      <c r="U16" s="295" t="s">
        <v>8</v>
      </c>
      <c r="V16" s="296" t="s">
        <v>8</v>
      </c>
      <c r="W16" s="295" t="s">
        <v>8</v>
      </c>
      <c r="X16" s="295" t="s">
        <v>8</v>
      </c>
      <c r="Y16" s="295" t="s">
        <v>8</v>
      </c>
      <c r="Z16" s="295" t="s">
        <v>8</v>
      </c>
      <c r="AA16" s="295" t="s">
        <v>8</v>
      </c>
      <c r="AB16" s="295" t="s">
        <v>8</v>
      </c>
      <c r="AC16" s="296" t="s">
        <v>8</v>
      </c>
      <c r="AD16" s="295" t="s">
        <v>8</v>
      </c>
      <c r="AE16" s="312" t="s">
        <v>8</v>
      </c>
    </row>
    <row r="17" spans="1:31" ht="12.75">
      <c r="A17" s="299" t="s">
        <v>64</v>
      </c>
      <c r="B17" s="300" t="s">
        <v>148</v>
      </c>
      <c r="C17" s="301">
        <v>36197</v>
      </c>
      <c r="D17" s="301">
        <v>35096</v>
      </c>
      <c r="E17" s="302">
        <v>104.5</v>
      </c>
      <c r="F17" s="303">
        <v>107.9443</v>
      </c>
      <c r="G17" s="109" t="s">
        <v>8</v>
      </c>
      <c r="H17" s="109" t="s">
        <v>8</v>
      </c>
      <c r="I17" s="302" t="s">
        <v>8</v>
      </c>
      <c r="J17" s="167" t="s">
        <v>8</v>
      </c>
      <c r="K17" s="109">
        <v>35087</v>
      </c>
      <c r="L17" s="109">
        <v>35096</v>
      </c>
      <c r="M17" s="288">
        <v>102.62</v>
      </c>
      <c r="N17" s="288">
        <v>103.04</v>
      </c>
      <c r="O17" s="304">
        <v>400</v>
      </c>
      <c r="P17" s="288">
        <v>1186.6153</v>
      </c>
      <c r="Q17" s="288">
        <v>400</v>
      </c>
      <c r="R17" s="109" t="s">
        <v>8</v>
      </c>
      <c r="S17" s="109" t="s">
        <v>8</v>
      </c>
      <c r="T17" s="288" t="s">
        <v>8</v>
      </c>
      <c r="U17" s="288" t="s">
        <v>8</v>
      </c>
      <c r="V17" s="304" t="s">
        <v>8</v>
      </c>
      <c r="W17" s="288" t="s">
        <v>8</v>
      </c>
      <c r="X17" s="288" t="s">
        <v>8</v>
      </c>
      <c r="Y17" s="288" t="s">
        <v>8</v>
      </c>
      <c r="Z17" s="288" t="s">
        <v>8</v>
      </c>
      <c r="AA17" s="288" t="s">
        <v>8</v>
      </c>
      <c r="AB17" s="288" t="s">
        <v>8</v>
      </c>
      <c r="AC17" s="304" t="s">
        <v>8</v>
      </c>
      <c r="AD17" s="288" t="s">
        <v>8</v>
      </c>
      <c r="AE17" s="313" t="s">
        <v>8</v>
      </c>
    </row>
    <row r="18" spans="1:31" ht="12.75">
      <c r="A18" s="299" t="s">
        <v>65</v>
      </c>
      <c r="B18" s="300" t="s">
        <v>149</v>
      </c>
      <c r="C18" s="301">
        <v>36286</v>
      </c>
      <c r="D18" s="301">
        <v>35191</v>
      </c>
      <c r="E18" s="302">
        <v>105</v>
      </c>
      <c r="F18" s="303">
        <v>200</v>
      </c>
      <c r="G18" s="109" t="s">
        <v>8</v>
      </c>
      <c r="H18" s="109" t="s">
        <v>8</v>
      </c>
      <c r="I18" s="302" t="s">
        <v>8</v>
      </c>
      <c r="J18" s="167" t="s">
        <v>8</v>
      </c>
      <c r="K18" s="109">
        <v>35178</v>
      </c>
      <c r="L18" s="109">
        <v>35191</v>
      </c>
      <c r="M18" s="288">
        <v>102.71</v>
      </c>
      <c r="N18" s="288">
        <v>102.91</v>
      </c>
      <c r="O18" s="304">
        <v>300</v>
      </c>
      <c r="P18" s="288">
        <v>863.0963</v>
      </c>
      <c r="Q18" s="288">
        <v>300</v>
      </c>
      <c r="R18" s="109" t="s">
        <v>8</v>
      </c>
      <c r="S18" s="109" t="s">
        <v>8</v>
      </c>
      <c r="T18" s="288" t="s">
        <v>8</v>
      </c>
      <c r="U18" s="288" t="s">
        <v>8</v>
      </c>
      <c r="V18" s="304" t="s">
        <v>8</v>
      </c>
      <c r="W18" s="288" t="s">
        <v>8</v>
      </c>
      <c r="X18" s="288" t="s">
        <v>8</v>
      </c>
      <c r="Y18" s="288" t="s">
        <v>8</v>
      </c>
      <c r="Z18" s="288" t="s">
        <v>8</v>
      </c>
      <c r="AA18" s="288" t="s">
        <v>8</v>
      </c>
      <c r="AB18" s="288" t="s">
        <v>8</v>
      </c>
      <c r="AC18" s="304" t="s">
        <v>8</v>
      </c>
      <c r="AD18" s="288" t="s">
        <v>8</v>
      </c>
      <c r="AE18" s="313" t="s">
        <v>8</v>
      </c>
    </row>
    <row r="19" spans="1:31" ht="12.75">
      <c r="A19" s="299" t="s">
        <v>66</v>
      </c>
      <c r="B19" s="300" t="s">
        <v>150</v>
      </c>
      <c r="C19" s="301">
        <v>36378</v>
      </c>
      <c r="D19" s="301">
        <v>35278</v>
      </c>
      <c r="E19" s="302">
        <v>101.5</v>
      </c>
      <c r="F19" s="303">
        <v>529.6381</v>
      </c>
      <c r="G19" s="109" t="s">
        <v>8</v>
      </c>
      <c r="H19" s="109" t="s">
        <v>8</v>
      </c>
      <c r="I19" s="302" t="s">
        <v>8</v>
      </c>
      <c r="J19" s="167" t="s">
        <v>8</v>
      </c>
      <c r="K19" s="109">
        <v>35269</v>
      </c>
      <c r="L19" s="109">
        <v>35278</v>
      </c>
      <c r="M19" s="288">
        <v>100.6</v>
      </c>
      <c r="N19" s="288">
        <v>101.21</v>
      </c>
      <c r="O19" s="304">
        <v>700</v>
      </c>
      <c r="P19" s="288">
        <v>614.436</v>
      </c>
      <c r="Q19" s="288">
        <v>431.296</v>
      </c>
      <c r="R19" s="109" t="s">
        <v>8</v>
      </c>
      <c r="S19" s="109" t="s">
        <v>8</v>
      </c>
      <c r="T19" s="288" t="s">
        <v>8</v>
      </c>
      <c r="U19" s="288" t="s">
        <v>8</v>
      </c>
      <c r="V19" s="304" t="s">
        <v>8</v>
      </c>
      <c r="W19" s="288" t="s">
        <v>8</v>
      </c>
      <c r="X19" s="288" t="s">
        <v>8</v>
      </c>
      <c r="Y19" s="288" t="s">
        <v>8</v>
      </c>
      <c r="Z19" s="288" t="s">
        <v>8</v>
      </c>
      <c r="AA19" s="288" t="s">
        <v>8</v>
      </c>
      <c r="AB19" s="288" t="s">
        <v>8</v>
      </c>
      <c r="AC19" s="304" t="s">
        <v>8</v>
      </c>
      <c r="AD19" s="288" t="s">
        <v>8</v>
      </c>
      <c r="AE19" s="313" t="s">
        <v>8</v>
      </c>
    </row>
    <row r="20" spans="1:31" s="24" customFormat="1" ht="12.75">
      <c r="A20" s="290" t="s">
        <v>67</v>
      </c>
      <c r="B20" s="291" t="s">
        <v>151</v>
      </c>
      <c r="C20" s="292">
        <v>36470</v>
      </c>
      <c r="D20" s="292">
        <v>35373</v>
      </c>
      <c r="E20" s="293">
        <v>101</v>
      </c>
      <c r="F20" s="294">
        <v>916.7</v>
      </c>
      <c r="G20" s="111" t="s">
        <v>8</v>
      </c>
      <c r="H20" s="111" t="s">
        <v>8</v>
      </c>
      <c r="I20" s="293" t="s">
        <v>8</v>
      </c>
      <c r="J20" s="171" t="s">
        <v>8</v>
      </c>
      <c r="K20" s="111">
        <v>35360</v>
      </c>
      <c r="L20" s="111">
        <v>35373</v>
      </c>
      <c r="M20" s="295">
        <v>100</v>
      </c>
      <c r="N20" s="295">
        <v>100.37</v>
      </c>
      <c r="O20" s="296">
        <v>600</v>
      </c>
      <c r="P20" s="295">
        <v>373.3</v>
      </c>
      <c r="Q20" s="295">
        <v>183.3</v>
      </c>
      <c r="R20" s="111" t="s">
        <v>8</v>
      </c>
      <c r="S20" s="111" t="s">
        <v>8</v>
      </c>
      <c r="T20" s="295" t="s">
        <v>8</v>
      </c>
      <c r="U20" s="295" t="s">
        <v>8</v>
      </c>
      <c r="V20" s="296" t="s">
        <v>8</v>
      </c>
      <c r="W20" s="295" t="s">
        <v>8</v>
      </c>
      <c r="X20" s="295" t="s">
        <v>8</v>
      </c>
      <c r="Y20" s="295" t="s">
        <v>8</v>
      </c>
      <c r="Z20" s="295" t="s">
        <v>8</v>
      </c>
      <c r="AA20" s="295" t="s">
        <v>8</v>
      </c>
      <c r="AB20" s="295" t="s">
        <v>8</v>
      </c>
      <c r="AC20" s="296" t="s">
        <v>8</v>
      </c>
      <c r="AD20" s="295" t="s">
        <v>8</v>
      </c>
      <c r="AE20" s="312" t="s">
        <v>8</v>
      </c>
    </row>
    <row r="21" spans="1:31" ht="12.75">
      <c r="A21" s="299" t="s">
        <v>68</v>
      </c>
      <c r="B21" s="300" t="s">
        <v>152</v>
      </c>
      <c r="C21" s="301">
        <v>36562</v>
      </c>
      <c r="D21" s="301">
        <v>35464</v>
      </c>
      <c r="E21" s="302">
        <v>99.5</v>
      </c>
      <c r="F21" s="303">
        <v>369.3666</v>
      </c>
      <c r="G21" s="109" t="s">
        <v>8</v>
      </c>
      <c r="H21" s="109" t="s">
        <v>8</v>
      </c>
      <c r="I21" s="302" t="s">
        <v>8</v>
      </c>
      <c r="J21" s="167" t="s">
        <v>8</v>
      </c>
      <c r="K21" s="109">
        <v>35451</v>
      </c>
      <c r="L21" s="109">
        <v>35464</v>
      </c>
      <c r="M21" s="288">
        <v>98.9</v>
      </c>
      <c r="N21" s="288">
        <v>99.42</v>
      </c>
      <c r="O21" s="304">
        <v>700</v>
      </c>
      <c r="P21" s="288">
        <v>358</v>
      </c>
      <c r="Q21" s="288">
        <v>27</v>
      </c>
      <c r="R21" s="109" t="s">
        <v>8</v>
      </c>
      <c r="S21" s="109" t="s">
        <v>8</v>
      </c>
      <c r="T21" s="288" t="s">
        <v>8</v>
      </c>
      <c r="U21" s="288" t="s">
        <v>8</v>
      </c>
      <c r="V21" s="304" t="s">
        <v>8</v>
      </c>
      <c r="W21" s="288" t="s">
        <v>8</v>
      </c>
      <c r="X21" s="288" t="s">
        <v>8</v>
      </c>
      <c r="Y21" s="288" t="s">
        <v>8</v>
      </c>
      <c r="Z21" s="288" t="s">
        <v>8</v>
      </c>
      <c r="AA21" s="288" t="s">
        <v>8</v>
      </c>
      <c r="AB21" s="288" t="s">
        <v>8</v>
      </c>
      <c r="AC21" s="304" t="s">
        <v>8</v>
      </c>
      <c r="AD21" s="288" t="s">
        <v>8</v>
      </c>
      <c r="AE21" s="313" t="s">
        <v>8</v>
      </c>
    </row>
    <row r="22" spans="1:31" ht="12.75">
      <c r="A22" s="299" t="s">
        <v>69</v>
      </c>
      <c r="B22" s="300" t="s">
        <v>153</v>
      </c>
      <c r="C22" s="301">
        <v>36652</v>
      </c>
      <c r="D22" s="301">
        <v>35555</v>
      </c>
      <c r="E22" s="302">
        <v>99.5</v>
      </c>
      <c r="F22" s="303">
        <v>206.2627</v>
      </c>
      <c r="G22" s="109" t="s">
        <v>8</v>
      </c>
      <c r="H22" s="109" t="s">
        <v>8</v>
      </c>
      <c r="I22" s="302" t="s">
        <v>8</v>
      </c>
      <c r="J22" s="167" t="s">
        <v>8</v>
      </c>
      <c r="K22" s="109">
        <v>35542</v>
      </c>
      <c r="L22" s="109">
        <v>35555</v>
      </c>
      <c r="M22" s="288">
        <v>98.9</v>
      </c>
      <c r="N22" s="288">
        <v>99</v>
      </c>
      <c r="O22" s="304">
        <v>700</v>
      </c>
      <c r="P22" s="288">
        <v>468.1</v>
      </c>
      <c r="Q22" s="288">
        <v>154</v>
      </c>
      <c r="R22" s="109" t="s">
        <v>8</v>
      </c>
      <c r="S22" s="109" t="s">
        <v>8</v>
      </c>
      <c r="T22" s="288" t="s">
        <v>8</v>
      </c>
      <c r="U22" s="288" t="s">
        <v>8</v>
      </c>
      <c r="V22" s="304" t="s">
        <v>8</v>
      </c>
      <c r="W22" s="288" t="s">
        <v>8</v>
      </c>
      <c r="X22" s="288" t="s">
        <v>8</v>
      </c>
      <c r="Y22" s="288" t="s">
        <v>8</v>
      </c>
      <c r="Z22" s="288" t="s">
        <v>8</v>
      </c>
      <c r="AA22" s="288" t="s">
        <v>8</v>
      </c>
      <c r="AB22" s="288" t="s">
        <v>8</v>
      </c>
      <c r="AC22" s="304" t="s">
        <v>8</v>
      </c>
      <c r="AD22" s="288" t="s">
        <v>8</v>
      </c>
      <c r="AE22" s="313" t="s">
        <v>8</v>
      </c>
    </row>
    <row r="23" spans="1:31" ht="12.75">
      <c r="A23" s="299" t="s">
        <v>70</v>
      </c>
      <c r="B23" s="300" t="s">
        <v>154</v>
      </c>
      <c r="C23" s="301">
        <v>36744</v>
      </c>
      <c r="D23" s="301">
        <v>35643</v>
      </c>
      <c r="E23" s="302">
        <v>98.7</v>
      </c>
      <c r="F23" s="303">
        <v>137.7844</v>
      </c>
      <c r="G23" s="109">
        <v>35597</v>
      </c>
      <c r="H23" s="109">
        <v>35608</v>
      </c>
      <c r="I23" s="302">
        <v>98.5</v>
      </c>
      <c r="J23" s="167">
        <v>17.0667</v>
      </c>
      <c r="K23" s="109">
        <v>35641</v>
      </c>
      <c r="L23" s="109">
        <v>35647</v>
      </c>
      <c r="M23" s="288">
        <v>97.82</v>
      </c>
      <c r="N23" s="288">
        <v>98.07</v>
      </c>
      <c r="O23" s="304">
        <v>300</v>
      </c>
      <c r="P23" s="288">
        <v>364.3</v>
      </c>
      <c r="Q23" s="288">
        <v>300</v>
      </c>
      <c r="R23" s="109">
        <v>35659</v>
      </c>
      <c r="S23" s="109">
        <v>35668</v>
      </c>
      <c r="T23" s="288">
        <v>97.75</v>
      </c>
      <c r="U23" s="288">
        <v>97.85</v>
      </c>
      <c r="V23" s="304">
        <v>300</v>
      </c>
      <c r="W23" s="288">
        <v>66</v>
      </c>
      <c r="X23" s="288">
        <v>61</v>
      </c>
      <c r="Y23" s="288">
        <v>35690</v>
      </c>
      <c r="Z23" s="288">
        <v>35696</v>
      </c>
      <c r="AA23" s="288">
        <v>97.3</v>
      </c>
      <c r="AB23" s="288">
        <v>97.53</v>
      </c>
      <c r="AC23" s="304">
        <v>439</v>
      </c>
      <c r="AD23" s="288">
        <v>112.29</v>
      </c>
      <c r="AE23" s="314">
        <v>97.29</v>
      </c>
    </row>
    <row r="24" spans="1:31" s="24" customFormat="1" ht="12.75">
      <c r="A24" s="290" t="s">
        <v>71</v>
      </c>
      <c r="B24" s="291" t="s">
        <v>155</v>
      </c>
      <c r="C24" s="292">
        <v>36836</v>
      </c>
      <c r="D24" s="292">
        <v>35737</v>
      </c>
      <c r="E24" s="293">
        <v>98.5</v>
      </c>
      <c r="F24" s="294">
        <v>415.7848</v>
      </c>
      <c r="G24" s="111">
        <v>35688</v>
      </c>
      <c r="H24" s="111">
        <v>35699</v>
      </c>
      <c r="I24" s="293">
        <v>98</v>
      </c>
      <c r="J24" s="171">
        <v>22.2046</v>
      </c>
      <c r="K24" s="111">
        <v>35732</v>
      </c>
      <c r="L24" s="111">
        <v>35738</v>
      </c>
      <c r="M24" s="295">
        <v>97.8</v>
      </c>
      <c r="N24" s="295">
        <v>97.9</v>
      </c>
      <c r="O24" s="296">
        <v>300</v>
      </c>
      <c r="P24" s="295">
        <v>227.526</v>
      </c>
      <c r="Q24" s="295">
        <v>41.5</v>
      </c>
      <c r="R24" s="111">
        <v>35753</v>
      </c>
      <c r="S24" s="111">
        <v>35759</v>
      </c>
      <c r="T24" s="295">
        <v>97.5</v>
      </c>
      <c r="U24" s="295">
        <v>97.73</v>
      </c>
      <c r="V24" s="296">
        <v>300</v>
      </c>
      <c r="W24" s="295">
        <v>166.3585</v>
      </c>
      <c r="X24" s="295">
        <v>136.3585</v>
      </c>
      <c r="Y24" s="295">
        <v>35781</v>
      </c>
      <c r="Z24" s="295">
        <v>35787</v>
      </c>
      <c r="AA24" s="295">
        <v>97.3</v>
      </c>
      <c r="AB24" s="295">
        <v>97.49</v>
      </c>
      <c r="AC24" s="296">
        <v>622.1415</v>
      </c>
      <c r="AD24" s="295">
        <v>109.38</v>
      </c>
      <c r="AE24" s="315">
        <v>56.38</v>
      </c>
    </row>
    <row r="25" spans="1:31" ht="12.75">
      <c r="A25" s="299" t="s">
        <v>72</v>
      </c>
      <c r="B25" s="300" t="s">
        <v>156</v>
      </c>
      <c r="C25" s="301">
        <v>36928</v>
      </c>
      <c r="D25" s="301">
        <v>35828</v>
      </c>
      <c r="E25" s="302">
        <v>98.5</v>
      </c>
      <c r="F25" s="303">
        <v>548.701</v>
      </c>
      <c r="G25" s="109">
        <v>35779</v>
      </c>
      <c r="H25" s="109">
        <v>35788</v>
      </c>
      <c r="I25" s="302">
        <v>97.9</v>
      </c>
      <c r="J25" s="167">
        <v>14.7317</v>
      </c>
      <c r="K25" s="109">
        <v>35823</v>
      </c>
      <c r="L25" s="109">
        <v>35829</v>
      </c>
      <c r="M25" s="288">
        <v>97.66</v>
      </c>
      <c r="N25" s="288">
        <v>97.85</v>
      </c>
      <c r="O25" s="304">
        <v>300</v>
      </c>
      <c r="P25" s="288">
        <v>190.86</v>
      </c>
      <c r="Q25" s="288">
        <v>26.19</v>
      </c>
      <c r="R25" s="109">
        <v>35844</v>
      </c>
      <c r="S25" s="109">
        <v>35850</v>
      </c>
      <c r="T25" s="288">
        <v>97.77</v>
      </c>
      <c r="U25" s="288">
        <v>97.86</v>
      </c>
      <c r="V25" s="304">
        <v>300</v>
      </c>
      <c r="W25" s="288">
        <v>512.3391</v>
      </c>
      <c r="X25" s="288">
        <v>300</v>
      </c>
      <c r="Y25" s="288">
        <v>35872</v>
      </c>
      <c r="Z25" s="288">
        <v>35878</v>
      </c>
      <c r="AA25" s="288">
        <v>97.45</v>
      </c>
      <c r="AB25" s="288">
        <v>97.73</v>
      </c>
      <c r="AC25" s="304">
        <v>300</v>
      </c>
      <c r="AD25" s="288">
        <v>238.5586</v>
      </c>
      <c r="AE25" s="314">
        <v>198.5586</v>
      </c>
    </row>
    <row r="26" spans="1:31" ht="12.75">
      <c r="A26" s="299" t="s">
        <v>73</v>
      </c>
      <c r="B26" s="300" t="s">
        <v>157</v>
      </c>
      <c r="C26" s="301">
        <v>37017</v>
      </c>
      <c r="D26" s="301">
        <v>35919</v>
      </c>
      <c r="E26" s="302">
        <v>98.5</v>
      </c>
      <c r="F26" s="303">
        <v>629.666</v>
      </c>
      <c r="G26" s="109">
        <v>35870</v>
      </c>
      <c r="H26" s="109">
        <v>35881</v>
      </c>
      <c r="I26" s="302">
        <v>98</v>
      </c>
      <c r="J26" s="167">
        <v>70.334</v>
      </c>
      <c r="K26" s="109">
        <v>35914</v>
      </c>
      <c r="L26" s="109">
        <v>35921</v>
      </c>
      <c r="M26" s="288">
        <v>98.12</v>
      </c>
      <c r="N26" s="288">
        <v>98.12</v>
      </c>
      <c r="O26" s="304">
        <v>300</v>
      </c>
      <c r="P26" s="288">
        <v>457.7518</v>
      </c>
      <c r="Q26" s="288">
        <v>300</v>
      </c>
      <c r="R26" s="109">
        <v>35935</v>
      </c>
      <c r="S26" s="109">
        <v>35941</v>
      </c>
      <c r="T26" s="288">
        <v>98.16</v>
      </c>
      <c r="U26" s="288">
        <v>98.29</v>
      </c>
      <c r="V26" s="304">
        <v>300</v>
      </c>
      <c r="W26" s="288">
        <v>794.885</v>
      </c>
      <c r="X26" s="288">
        <v>300</v>
      </c>
      <c r="Y26" s="288">
        <v>35963</v>
      </c>
      <c r="Z26" s="288">
        <v>35969</v>
      </c>
      <c r="AA26" s="288">
        <v>98.26</v>
      </c>
      <c r="AB26" s="288">
        <v>98.41</v>
      </c>
      <c r="AC26" s="304">
        <v>300</v>
      </c>
      <c r="AD26" s="288">
        <v>519.279</v>
      </c>
      <c r="AE26" s="314">
        <v>300</v>
      </c>
    </row>
    <row r="27" spans="1:31" ht="12.75">
      <c r="A27" s="299" t="s">
        <v>74</v>
      </c>
      <c r="B27" s="300" t="s">
        <v>158</v>
      </c>
      <c r="C27" s="301">
        <v>37109</v>
      </c>
      <c r="D27" s="301">
        <v>36011</v>
      </c>
      <c r="E27" s="302">
        <v>99</v>
      </c>
      <c r="F27" s="303">
        <v>409.5188</v>
      </c>
      <c r="G27" s="109">
        <v>35961</v>
      </c>
      <c r="H27" s="109">
        <v>35972</v>
      </c>
      <c r="I27" s="302">
        <v>98.1</v>
      </c>
      <c r="J27" s="167">
        <v>190.4812</v>
      </c>
      <c r="K27" s="109">
        <v>36005</v>
      </c>
      <c r="L27" s="109">
        <v>36011</v>
      </c>
      <c r="M27" s="288">
        <v>98.67</v>
      </c>
      <c r="N27" s="288">
        <v>99.26</v>
      </c>
      <c r="O27" s="304">
        <v>300</v>
      </c>
      <c r="P27" s="288">
        <v>627.2663</v>
      </c>
      <c r="Q27" s="288">
        <v>300</v>
      </c>
      <c r="R27" s="109">
        <v>36026</v>
      </c>
      <c r="S27" s="109">
        <v>36032</v>
      </c>
      <c r="T27" s="288">
        <v>100.32</v>
      </c>
      <c r="U27" s="288">
        <v>100.32</v>
      </c>
      <c r="V27" s="304">
        <v>300</v>
      </c>
      <c r="W27" s="288">
        <v>1098.8</v>
      </c>
      <c r="X27" s="288">
        <v>300</v>
      </c>
      <c r="Y27" s="288">
        <v>36054</v>
      </c>
      <c r="Z27" s="288">
        <v>36060</v>
      </c>
      <c r="AA27" s="288">
        <v>99.53</v>
      </c>
      <c r="AB27" s="288">
        <v>99.83</v>
      </c>
      <c r="AC27" s="304">
        <v>300</v>
      </c>
      <c r="AD27" s="288">
        <v>516.07</v>
      </c>
      <c r="AE27" s="314">
        <v>300</v>
      </c>
    </row>
    <row r="28" spans="1:31" s="24" customFormat="1" ht="12.75">
      <c r="A28" s="290" t="s">
        <v>75</v>
      </c>
      <c r="B28" s="291" t="s">
        <v>159</v>
      </c>
      <c r="C28" s="292">
        <v>37201</v>
      </c>
      <c r="D28" s="292">
        <v>36102</v>
      </c>
      <c r="E28" s="293">
        <v>99.9</v>
      </c>
      <c r="F28" s="294">
        <v>512.6143</v>
      </c>
      <c r="G28" s="111">
        <v>36052</v>
      </c>
      <c r="H28" s="111">
        <v>36063</v>
      </c>
      <c r="I28" s="293">
        <v>99.5</v>
      </c>
      <c r="J28" s="171">
        <v>155.8881</v>
      </c>
      <c r="K28" s="111">
        <v>36096</v>
      </c>
      <c r="L28" s="111">
        <v>36102</v>
      </c>
      <c r="M28" s="295">
        <v>99.33</v>
      </c>
      <c r="N28" s="295">
        <v>99.62</v>
      </c>
      <c r="O28" s="296">
        <v>200</v>
      </c>
      <c r="P28" s="295">
        <v>492.699</v>
      </c>
      <c r="Q28" s="295">
        <v>200</v>
      </c>
      <c r="R28" s="111">
        <v>36117</v>
      </c>
      <c r="S28" s="111">
        <v>36123</v>
      </c>
      <c r="T28" s="295">
        <v>99.7</v>
      </c>
      <c r="U28" s="295">
        <v>99.74</v>
      </c>
      <c r="V28" s="296">
        <v>200</v>
      </c>
      <c r="W28" s="295">
        <v>404.82</v>
      </c>
      <c r="X28" s="295">
        <v>195</v>
      </c>
      <c r="Y28" s="295">
        <v>36145</v>
      </c>
      <c r="Z28" s="295">
        <v>36151</v>
      </c>
      <c r="AA28" s="295">
        <v>99.65</v>
      </c>
      <c r="AB28" s="295">
        <v>99.7</v>
      </c>
      <c r="AC28" s="296">
        <v>300</v>
      </c>
      <c r="AD28" s="295">
        <v>175.7</v>
      </c>
      <c r="AE28" s="315">
        <v>37</v>
      </c>
    </row>
    <row r="29" spans="1:31" ht="12.75">
      <c r="A29" s="299" t="s">
        <v>76</v>
      </c>
      <c r="B29" s="300" t="s">
        <v>160</v>
      </c>
      <c r="C29" s="301">
        <v>37293</v>
      </c>
      <c r="D29" s="301">
        <v>36193</v>
      </c>
      <c r="E29" s="302">
        <v>100</v>
      </c>
      <c r="F29" s="303">
        <v>477.4949</v>
      </c>
      <c r="G29" s="109">
        <v>36143</v>
      </c>
      <c r="H29" s="109">
        <v>36153</v>
      </c>
      <c r="I29" s="302">
        <v>99.7</v>
      </c>
      <c r="J29" s="167">
        <v>30.0518</v>
      </c>
      <c r="K29" s="109">
        <v>36187</v>
      </c>
      <c r="L29" s="109">
        <v>36193</v>
      </c>
      <c r="M29" s="288">
        <v>99.65</v>
      </c>
      <c r="N29" s="288">
        <v>99.82</v>
      </c>
      <c r="O29" s="304">
        <v>300</v>
      </c>
      <c r="P29" s="288">
        <v>527.111</v>
      </c>
      <c r="Q29" s="288">
        <v>300</v>
      </c>
      <c r="R29" s="109">
        <v>36208</v>
      </c>
      <c r="S29" s="109">
        <v>36214</v>
      </c>
      <c r="T29" s="288">
        <v>99.7</v>
      </c>
      <c r="U29" s="288">
        <v>99.8</v>
      </c>
      <c r="V29" s="304">
        <v>300</v>
      </c>
      <c r="W29" s="288">
        <v>513.151</v>
      </c>
      <c r="X29" s="288">
        <v>300</v>
      </c>
      <c r="Y29" s="288">
        <v>36236</v>
      </c>
      <c r="Z29" s="288">
        <v>36242</v>
      </c>
      <c r="AA29" s="288">
        <v>99.4</v>
      </c>
      <c r="AB29" s="288">
        <v>99.55</v>
      </c>
      <c r="AC29" s="304">
        <v>300</v>
      </c>
      <c r="AD29" s="288">
        <v>490.98</v>
      </c>
      <c r="AE29" s="314">
        <v>300</v>
      </c>
    </row>
    <row r="30" spans="1:31" ht="12.75">
      <c r="A30" s="299" t="s">
        <v>77</v>
      </c>
      <c r="B30" s="300" t="s">
        <v>161</v>
      </c>
      <c r="C30" s="301">
        <v>37382</v>
      </c>
      <c r="D30" s="301">
        <v>36284</v>
      </c>
      <c r="E30" s="302">
        <v>100</v>
      </c>
      <c r="F30" s="303">
        <v>401.7615</v>
      </c>
      <c r="G30" s="109">
        <v>36234</v>
      </c>
      <c r="H30" s="109">
        <v>36245</v>
      </c>
      <c r="I30" s="302">
        <v>99.9</v>
      </c>
      <c r="J30" s="167">
        <v>43.8789</v>
      </c>
      <c r="K30" s="109">
        <v>36278</v>
      </c>
      <c r="L30" s="109">
        <v>36284</v>
      </c>
      <c r="M30" s="288">
        <v>99.45</v>
      </c>
      <c r="N30" s="288">
        <v>99.55</v>
      </c>
      <c r="O30" s="304">
        <v>300</v>
      </c>
      <c r="P30" s="288">
        <v>299.7</v>
      </c>
      <c r="Q30" s="288">
        <v>146.2</v>
      </c>
      <c r="R30" s="109">
        <v>36299</v>
      </c>
      <c r="S30" s="109">
        <v>36305</v>
      </c>
      <c r="T30" s="288">
        <v>99.21</v>
      </c>
      <c r="U30" s="288">
        <v>99.41</v>
      </c>
      <c r="V30" s="304">
        <v>300</v>
      </c>
      <c r="W30" s="288">
        <v>154.2</v>
      </c>
      <c r="X30" s="288">
        <v>150.2</v>
      </c>
      <c r="Y30" s="288">
        <v>36327</v>
      </c>
      <c r="Z30" s="288">
        <v>36333</v>
      </c>
      <c r="AA30" s="288">
        <v>99.18</v>
      </c>
      <c r="AB30" s="288">
        <v>99.25</v>
      </c>
      <c r="AC30" s="304">
        <v>300</v>
      </c>
      <c r="AD30" s="288">
        <v>116.075</v>
      </c>
      <c r="AE30" s="314">
        <v>90.055</v>
      </c>
    </row>
    <row r="31" spans="1:31" ht="12.75">
      <c r="A31" s="299" t="s">
        <v>78</v>
      </c>
      <c r="B31" s="300" t="s">
        <v>162</v>
      </c>
      <c r="C31" s="301">
        <v>37473</v>
      </c>
      <c r="D31" s="301">
        <v>36377</v>
      </c>
      <c r="E31" s="302">
        <v>99.8</v>
      </c>
      <c r="F31" s="303">
        <v>428.2822</v>
      </c>
      <c r="G31" s="109">
        <v>36332</v>
      </c>
      <c r="H31" s="109">
        <v>36357</v>
      </c>
      <c r="I31" s="302">
        <v>99.4</v>
      </c>
      <c r="J31" s="167">
        <v>91.6477</v>
      </c>
      <c r="K31" s="109">
        <v>36369</v>
      </c>
      <c r="L31" s="109">
        <v>36377</v>
      </c>
      <c r="M31" s="288">
        <v>98.65</v>
      </c>
      <c r="N31" s="288">
        <v>98.89</v>
      </c>
      <c r="O31" s="304">
        <v>200</v>
      </c>
      <c r="P31" s="288">
        <v>197.068</v>
      </c>
      <c r="Q31" s="288">
        <v>104.068</v>
      </c>
      <c r="R31" s="109">
        <v>36397</v>
      </c>
      <c r="S31" s="109">
        <v>36408</v>
      </c>
      <c r="T31" s="288">
        <v>98.75</v>
      </c>
      <c r="U31" s="288">
        <v>98.87</v>
      </c>
      <c r="V31" s="304">
        <v>200</v>
      </c>
      <c r="W31" s="288">
        <v>185.123</v>
      </c>
      <c r="X31" s="288">
        <v>39.723</v>
      </c>
      <c r="Y31" s="288">
        <v>36432</v>
      </c>
      <c r="Z31" s="288">
        <v>36438</v>
      </c>
      <c r="AA31" s="288">
        <v>98.55</v>
      </c>
      <c r="AB31" s="288">
        <v>98.79</v>
      </c>
      <c r="AC31" s="304">
        <v>100</v>
      </c>
      <c r="AD31" s="288">
        <v>214.38</v>
      </c>
      <c r="AE31" s="314">
        <v>100</v>
      </c>
    </row>
    <row r="32" spans="1:31" s="24" customFormat="1" ht="12.75">
      <c r="A32" s="290" t="s">
        <v>79</v>
      </c>
      <c r="B32" s="291" t="s">
        <v>163</v>
      </c>
      <c r="C32" s="292">
        <v>37565</v>
      </c>
      <c r="D32" s="292">
        <v>36469</v>
      </c>
      <c r="E32" s="293">
        <v>100</v>
      </c>
      <c r="F32" s="294">
        <v>306.8409</v>
      </c>
      <c r="G32" s="111">
        <v>36423</v>
      </c>
      <c r="H32" s="111">
        <v>36452</v>
      </c>
      <c r="I32" s="293">
        <v>99.8</v>
      </c>
      <c r="J32" s="171">
        <v>65.6033</v>
      </c>
      <c r="K32" s="111">
        <v>36460</v>
      </c>
      <c r="L32" s="111">
        <v>36469</v>
      </c>
      <c r="M32" s="295">
        <v>97.45</v>
      </c>
      <c r="N32" s="295">
        <v>97.6</v>
      </c>
      <c r="O32" s="296">
        <v>100</v>
      </c>
      <c r="P32" s="295">
        <v>99.5</v>
      </c>
      <c r="Q32" s="295">
        <v>54</v>
      </c>
      <c r="R32" s="111">
        <v>36488</v>
      </c>
      <c r="S32" s="111">
        <v>36499</v>
      </c>
      <c r="T32" s="295">
        <v>97.21</v>
      </c>
      <c r="U32" s="295">
        <v>97.46</v>
      </c>
      <c r="V32" s="296">
        <v>100</v>
      </c>
      <c r="W32" s="295">
        <v>201.3</v>
      </c>
      <c r="X32" s="295">
        <v>100</v>
      </c>
      <c r="Y32" s="295">
        <v>36509</v>
      </c>
      <c r="Z32" s="295">
        <v>36515</v>
      </c>
      <c r="AA32" s="295">
        <v>96.87</v>
      </c>
      <c r="AB32" s="295">
        <v>97.16</v>
      </c>
      <c r="AC32" s="296">
        <v>100</v>
      </c>
      <c r="AD32" s="295">
        <v>164.49</v>
      </c>
      <c r="AE32" s="315">
        <v>99.99</v>
      </c>
    </row>
    <row r="33" spans="1:31" ht="12.75">
      <c r="A33" s="299" t="s">
        <v>80</v>
      </c>
      <c r="B33" s="300" t="s">
        <v>164</v>
      </c>
      <c r="C33" s="301">
        <v>37657</v>
      </c>
      <c r="D33" s="301">
        <v>36563</v>
      </c>
      <c r="E33" s="302">
        <v>100</v>
      </c>
      <c r="F33" s="303">
        <v>471.5467</v>
      </c>
      <c r="G33" s="109">
        <v>36514</v>
      </c>
      <c r="H33" s="109">
        <v>36544</v>
      </c>
      <c r="I33" s="302">
        <v>99.8</v>
      </c>
      <c r="J33" s="167">
        <v>26.867</v>
      </c>
      <c r="K33" s="109" t="s">
        <v>8</v>
      </c>
      <c r="L33" s="109" t="s">
        <v>8</v>
      </c>
      <c r="M33" s="109" t="s">
        <v>8</v>
      </c>
      <c r="N33" s="109" t="s">
        <v>8</v>
      </c>
      <c r="O33" s="305" t="s">
        <v>8</v>
      </c>
      <c r="P33" s="109" t="s">
        <v>8</v>
      </c>
      <c r="Q33" s="109" t="s">
        <v>8</v>
      </c>
      <c r="R33" s="109" t="s">
        <v>8</v>
      </c>
      <c r="S33" s="109" t="s">
        <v>8</v>
      </c>
      <c r="T33" s="109" t="s">
        <v>8</v>
      </c>
      <c r="U33" s="109" t="s">
        <v>8</v>
      </c>
      <c r="V33" s="305" t="s">
        <v>8</v>
      </c>
      <c r="W33" s="109" t="s">
        <v>8</v>
      </c>
      <c r="X33" s="109" t="s">
        <v>8</v>
      </c>
      <c r="Y33" s="109" t="s">
        <v>8</v>
      </c>
      <c r="Z33" s="109" t="s">
        <v>8</v>
      </c>
      <c r="AA33" s="109" t="s">
        <v>8</v>
      </c>
      <c r="AB33" s="109" t="s">
        <v>8</v>
      </c>
      <c r="AC33" s="305" t="s">
        <v>8</v>
      </c>
      <c r="AD33" s="109" t="s">
        <v>8</v>
      </c>
      <c r="AE33" s="306" t="s">
        <v>8</v>
      </c>
    </row>
    <row r="34" spans="1:31" ht="12.75">
      <c r="A34" s="299" t="s">
        <v>81</v>
      </c>
      <c r="B34" s="300" t="s">
        <v>165</v>
      </c>
      <c r="C34" s="301">
        <v>37746</v>
      </c>
      <c r="D34" s="301">
        <v>36651</v>
      </c>
      <c r="E34" s="302">
        <v>100</v>
      </c>
      <c r="F34" s="303">
        <v>448.1433</v>
      </c>
      <c r="G34" s="109">
        <v>36601</v>
      </c>
      <c r="H34" s="109">
        <v>36630</v>
      </c>
      <c r="I34" s="302">
        <v>99.8</v>
      </c>
      <c r="J34" s="167">
        <v>51.8567</v>
      </c>
      <c r="K34" s="109" t="s">
        <v>8</v>
      </c>
      <c r="L34" s="109" t="s">
        <v>8</v>
      </c>
      <c r="M34" s="109" t="s">
        <v>8</v>
      </c>
      <c r="N34" s="109" t="s">
        <v>8</v>
      </c>
      <c r="O34" s="305" t="s">
        <v>8</v>
      </c>
      <c r="P34" s="109" t="s">
        <v>8</v>
      </c>
      <c r="Q34" s="109" t="s">
        <v>8</v>
      </c>
      <c r="R34" s="109" t="s">
        <v>8</v>
      </c>
      <c r="S34" s="109" t="s">
        <v>8</v>
      </c>
      <c r="T34" s="109" t="s">
        <v>8</v>
      </c>
      <c r="U34" s="109" t="s">
        <v>8</v>
      </c>
      <c r="V34" s="305" t="s">
        <v>8</v>
      </c>
      <c r="W34" s="109" t="s">
        <v>8</v>
      </c>
      <c r="X34" s="109" t="s">
        <v>8</v>
      </c>
      <c r="Y34" s="109" t="s">
        <v>8</v>
      </c>
      <c r="Z34" s="109" t="s">
        <v>8</v>
      </c>
      <c r="AA34" s="109" t="s">
        <v>8</v>
      </c>
      <c r="AB34" s="109" t="s">
        <v>8</v>
      </c>
      <c r="AC34" s="305" t="s">
        <v>8</v>
      </c>
      <c r="AD34" s="109" t="s">
        <v>8</v>
      </c>
      <c r="AE34" s="306" t="s">
        <v>8</v>
      </c>
    </row>
    <row r="35" spans="1:31" ht="12.75">
      <c r="A35" s="299" t="s">
        <v>213</v>
      </c>
      <c r="B35" s="300" t="s">
        <v>214</v>
      </c>
      <c r="C35" s="301">
        <v>37838</v>
      </c>
      <c r="D35" s="301">
        <v>36742</v>
      </c>
      <c r="E35" s="302">
        <v>100</v>
      </c>
      <c r="F35" s="303">
        <v>338.4189</v>
      </c>
      <c r="G35" s="109">
        <v>36692</v>
      </c>
      <c r="H35" s="109">
        <v>36717</v>
      </c>
      <c r="I35" s="302">
        <v>99.8</v>
      </c>
      <c r="J35" s="167">
        <v>29.5539</v>
      </c>
      <c r="K35" s="109" t="s">
        <v>8</v>
      </c>
      <c r="L35" s="109" t="s">
        <v>8</v>
      </c>
      <c r="M35" s="109" t="s">
        <v>8</v>
      </c>
      <c r="N35" s="109" t="s">
        <v>8</v>
      </c>
      <c r="O35" s="305" t="s">
        <v>8</v>
      </c>
      <c r="P35" s="109" t="s">
        <v>8</v>
      </c>
      <c r="Q35" s="109" t="s">
        <v>8</v>
      </c>
      <c r="R35" s="109" t="s">
        <v>8</v>
      </c>
      <c r="S35" s="109" t="s">
        <v>8</v>
      </c>
      <c r="T35" s="109" t="s">
        <v>8</v>
      </c>
      <c r="U35" s="109" t="s">
        <v>8</v>
      </c>
      <c r="V35" s="305" t="s">
        <v>8</v>
      </c>
      <c r="W35" s="109" t="s">
        <v>8</v>
      </c>
      <c r="X35" s="109" t="s">
        <v>8</v>
      </c>
      <c r="Y35" s="109" t="s">
        <v>8</v>
      </c>
      <c r="Z35" s="109" t="s">
        <v>8</v>
      </c>
      <c r="AA35" s="109" t="s">
        <v>8</v>
      </c>
      <c r="AB35" s="109" t="s">
        <v>8</v>
      </c>
      <c r="AC35" s="305" t="s">
        <v>8</v>
      </c>
      <c r="AD35" s="109" t="s">
        <v>8</v>
      </c>
      <c r="AE35" s="306" t="s">
        <v>8</v>
      </c>
    </row>
    <row r="36" spans="1:31" s="24" customFormat="1" ht="12.75">
      <c r="A36" s="290" t="s">
        <v>229</v>
      </c>
      <c r="B36" s="291" t="s">
        <v>232</v>
      </c>
      <c r="C36" s="292">
        <v>37930</v>
      </c>
      <c r="D36" s="292">
        <v>36832</v>
      </c>
      <c r="E36" s="293">
        <v>100</v>
      </c>
      <c r="F36" s="294">
        <v>317.7307</v>
      </c>
      <c r="G36" s="111">
        <v>36787</v>
      </c>
      <c r="H36" s="111">
        <v>36809</v>
      </c>
      <c r="I36" s="293">
        <v>99.8</v>
      </c>
      <c r="J36" s="171">
        <v>82.2693</v>
      </c>
      <c r="K36" s="111" t="s">
        <v>8</v>
      </c>
      <c r="L36" s="111" t="s">
        <v>8</v>
      </c>
      <c r="M36" s="111" t="s">
        <v>8</v>
      </c>
      <c r="N36" s="111" t="s">
        <v>8</v>
      </c>
      <c r="O36" s="297" t="s">
        <v>8</v>
      </c>
      <c r="P36" s="111" t="s">
        <v>8</v>
      </c>
      <c r="Q36" s="111" t="s">
        <v>8</v>
      </c>
      <c r="R36" s="111" t="s">
        <v>8</v>
      </c>
      <c r="S36" s="111" t="s">
        <v>8</v>
      </c>
      <c r="T36" s="111" t="s">
        <v>8</v>
      </c>
      <c r="U36" s="111" t="s">
        <v>8</v>
      </c>
      <c r="V36" s="297" t="s">
        <v>8</v>
      </c>
      <c r="W36" s="111" t="s">
        <v>8</v>
      </c>
      <c r="X36" s="111" t="s">
        <v>8</v>
      </c>
      <c r="Y36" s="111" t="s">
        <v>8</v>
      </c>
      <c r="Z36" s="111" t="s">
        <v>8</v>
      </c>
      <c r="AA36" s="111" t="s">
        <v>8</v>
      </c>
      <c r="AB36" s="111" t="s">
        <v>8</v>
      </c>
      <c r="AC36" s="297" t="s">
        <v>8</v>
      </c>
      <c r="AD36" s="111" t="s">
        <v>8</v>
      </c>
      <c r="AE36" s="311" t="s">
        <v>8</v>
      </c>
    </row>
    <row r="37" spans="1:31" ht="12.75">
      <c r="A37" s="299" t="s">
        <v>241</v>
      </c>
      <c r="B37" s="300" t="s">
        <v>242</v>
      </c>
      <c r="C37" s="301">
        <v>38022</v>
      </c>
      <c r="D37" s="301">
        <v>36923</v>
      </c>
      <c r="E37" s="302">
        <v>100</v>
      </c>
      <c r="F37" s="303">
        <v>243.5796</v>
      </c>
      <c r="G37" s="109">
        <v>36874</v>
      </c>
      <c r="H37" s="109">
        <v>36901</v>
      </c>
      <c r="I37" s="302">
        <v>99.8</v>
      </c>
      <c r="J37" s="167">
        <v>156.4204</v>
      </c>
      <c r="K37" s="109" t="s">
        <v>8</v>
      </c>
      <c r="L37" s="109" t="s">
        <v>8</v>
      </c>
      <c r="M37" s="109" t="s">
        <v>8</v>
      </c>
      <c r="N37" s="109" t="s">
        <v>8</v>
      </c>
      <c r="O37" s="305" t="s">
        <v>8</v>
      </c>
      <c r="P37" s="109" t="s">
        <v>8</v>
      </c>
      <c r="Q37" s="109" t="s">
        <v>8</v>
      </c>
      <c r="R37" s="109" t="s">
        <v>8</v>
      </c>
      <c r="S37" s="109" t="s">
        <v>8</v>
      </c>
      <c r="T37" s="109" t="s">
        <v>8</v>
      </c>
      <c r="U37" s="109" t="s">
        <v>8</v>
      </c>
      <c r="V37" s="305" t="s">
        <v>8</v>
      </c>
      <c r="W37" s="109" t="s">
        <v>8</v>
      </c>
      <c r="X37" s="109" t="s">
        <v>8</v>
      </c>
      <c r="Y37" s="109" t="s">
        <v>8</v>
      </c>
      <c r="Z37" s="109" t="s">
        <v>8</v>
      </c>
      <c r="AA37" s="109" t="s">
        <v>8</v>
      </c>
      <c r="AB37" s="109" t="s">
        <v>8</v>
      </c>
      <c r="AC37" s="305" t="s">
        <v>8</v>
      </c>
      <c r="AD37" s="109" t="s">
        <v>8</v>
      </c>
      <c r="AE37" s="306" t="s">
        <v>8</v>
      </c>
    </row>
    <row r="38" spans="1:31" ht="12.75">
      <c r="A38" s="299" t="s">
        <v>261</v>
      </c>
      <c r="B38" s="300" t="s">
        <v>264</v>
      </c>
      <c r="C38" s="301">
        <v>38112</v>
      </c>
      <c r="D38" s="301">
        <v>37015</v>
      </c>
      <c r="E38" s="302">
        <v>100</v>
      </c>
      <c r="F38" s="303">
        <v>161.8472</v>
      </c>
      <c r="G38" s="109">
        <v>36965</v>
      </c>
      <c r="H38" s="109">
        <v>36987</v>
      </c>
      <c r="I38" s="302">
        <v>99.8</v>
      </c>
      <c r="J38" s="167">
        <v>238.1528</v>
      </c>
      <c r="K38" s="109" t="s">
        <v>8</v>
      </c>
      <c r="L38" s="109" t="s">
        <v>8</v>
      </c>
      <c r="M38" s="109" t="s">
        <v>8</v>
      </c>
      <c r="N38" s="109" t="s">
        <v>8</v>
      </c>
      <c r="O38" s="305" t="s">
        <v>8</v>
      </c>
      <c r="P38" s="109" t="s">
        <v>8</v>
      </c>
      <c r="Q38" s="109" t="s">
        <v>8</v>
      </c>
      <c r="R38" s="109" t="s">
        <v>8</v>
      </c>
      <c r="S38" s="109" t="s">
        <v>8</v>
      </c>
      <c r="T38" s="109" t="s">
        <v>8</v>
      </c>
      <c r="U38" s="109" t="s">
        <v>8</v>
      </c>
      <c r="V38" s="305" t="s">
        <v>8</v>
      </c>
      <c r="W38" s="109" t="s">
        <v>8</v>
      </c>
      <c r="X38" s="109" t="s">
        <v>8</v>
      </c>
      <c r="Y38" s="109" t="s">
        <v>8</v>
      </c>
      <c r="Z38" s="109" t="s">
        <v>8</v>
      </c>
      <c r="AA38" s="109" t="s">
        <v>8</v>
      </c>
      <c r="AB38" s="109" t="s">
        <v>8</v>
      </c>
      <c r="AC38" s="305" t="s">
        <v>8</v>
      </c>
      <c r="AD38" s="109" t="s">
        <v>8</v>
      </c>
      <c r="AE38" s="306" t="s">
        <v>8</v>
      </c>
    </row>
    <row r="39" spans="1:31" ht="12.75">
      <c r="A39" s="299" t="s">
        <v>267</v>
      </c>
      <c r="B39" s="300" t="s">
        <v>274</v>
      </c>
      <c r="C39" s="301">
        <v>38204</v>
      </c>
      <c r="D39" s="301">
        <v>37104</v>
      </c>
      <c r="E39" s="302">
        <v>100</v>
      </c>
      <c r="F39" s="303">
        <v>553.2235</v>
      </c>
      <c r="G39" s="109">
        <v>37060</v>
      </c>
      <c r="H39" s="109">
        <v>37082</v>
      </c>
      <c r="I39" s="302">
        <v>99.8</v>
      </c>
      <c r="J39" s="167">
        <v>312.0532</v>
      </c>
      <c r="K39" s="109" t="s">
        <v>8</v>
      </c>
      <c r="L39" s="109" t="s">
        <v>8</v>
      </c>
      <c r="M39" s="109" t="s">
        <v>8</v>
      </c>
      <c r="N39" s="109" t="s">
        <v>8</v>
      </c>
      <c r="O39" s="305" t="s">
        <v>8</v>
      </c>
      <c r="P39" s="109" t="s">
        <v>8</v>
      </c>
      <c r="Q39" s="109" t="s">
        <v>8</v>
      </c>
      <c r="R39" s="109" t="s">
        <v>8</v>
      </c>
      <c r="S39" s="109" t="s">
        <v>8</v>
      </c>
      <c r="T39" s="109" t="s">
        <v>8</v>
      </c>
      <c r="U39" s="109" t="s">
        <v>8</v>
      </c>
      <c r="V39" s="305" t="s">
        <v>8</v>
      </c>
      <c r="W39" s="109" t="s">
        <v>8</v>
      </c>
      <c r="X39" s="109" t="s">
        <v>8</v>
      </c>
      <c r="Y39" s="109" t="s">
        <v>8</v>
      </c>
      <c r="Z39" s="109" t="s">
        <v>8</v>
      </c>
      <c r="AA39" s="109" t="s">
        <v>8</v>
      </c>
      <c r="AB39" s="109" t="s">
        <v>8</v>
      </c>
      <c r="AC39" s="305" t="s">
        <v>8</v>
      </c>
      <c r="AD39" s="109" t="s">
        <v>8</v>
      </c>
      <c r="AE39" s="306" t="s">
        <v>8</v>
      </c>
    </row>
    <row r="40" spans="1:31" s="24" customFormat="1" ht="12.75">
      <c r="A40" s="290" t="s">
        <v>284</v>
      </c>
      <c r="B40" s="291" t="s">
        <v>285</v>
      </c>
      <c r="C40" s="292">
        <v>38296</v>
      </c>
      <c r="D40" s="292">
        <v>37197</v>
      </c>
      <c r="E40" s="293">
        <v>100</v>
      </c>
      <c r="F40" s="294">
        <v>740.103</v>
      </c>
      <c r="G40" s="111">
        <v>37151</v>
      </c>
      <c r="H40" s="111">
        <v>37174</v>
      </c>
      <c r="I40" s="293">
        <v>99.5</v>
      </c>
      <c r="J40" s="171">
        <v>259.897</v>
      </c>
      <c r="K40" s="111" t="s">
        <v>8</v>
      </c>
      <c r="L40" s="111" t="s">
        <v>8</v>
      </c>
      <c r="M40" s="111" t="s">
        <v>8</v>
      </c>
      <c r="N40" s="111" t="s">
        <v>8</v>
      </c>
      <c r="O40" s="297" t="s">
        <v>8</v>
      </c>
      <c r="P40" s="111" t="s">
        <v>8</v>
      </c>
      <c r="Q40" s="111" t="s">
        <v>8</v>
      </c>
      <c r="R40" s="111" t="s">
        <v>8</v>
      </c>
      <c r="S40" s="111" t="s">
        <v>8</v>
      </c>
      <c r="T40" s="111" t="s">
        <v>8</v>
      </c>
      <c r="U40" s="111" t="s">
        <v>8</v>
      </c>
      <c r="V40" s="297" t="s">
        <v>8</v>
      </c>
      <c r="W40" s="111" t="s">
        <v>8</v>
      </c>
      <c r="X40" s="111" t="s">
        <v>8</v>
      </c>
      <c r="Y40" s="111" t="s">
        <v>8</v>
      </c>
      <c r="Z40" s="111" t="s">
        <v>8</v>
      </c>
      <c r="AA40" s="111" t="s">
        <v>8</v>
      </c>
      <c r="AB40" s="111" t="s">
        <v>8</v>
      </c>
      <c r="AC40" s="297" t="s">
        <v>8</v>
      </c>
      <c r="AD40" s="111" t="s">
        <v>8</v>
      </c>
      <c r="AE40" s="311" t="s">
        <v>8</v>
      </c>
    </row>
    <row r="41" spans="1:31" ht="12.75">
      <c r="A41" s="299" t="s">
        <v>293</v>
      </c>
      <c r="B41" s="300" t="s">
        <v>294</v>
      </c>
      <c r="C41" s="301">
        <v>38388</v>
      </c>
      <c r="D41" s="301">
        <v>37288</v>
      </c>
      <c r="E41" s="302">
        <v>100</v>
      </c>
      <c r="F41" s="303">
        <v>282.5951</v>
      </c>
      <c r="G41" s="109">
        <v>37242</v>
      </c>
      <c r="H41" s="109">
        <v>37266</v>
      </c>
      <c r="I41" s="302">
        <v>99.8</v>
      </c>
      <c r="J41" s="167">
        <v>180.0287</v>
      </c>
      <c r="K41" s="109" t="s">
        <v>8</v>
      </c>
      <c r="L41" s="109" t="s">
        <v>8</v>
      </c>
      <c r="M41" s="109" t="s">
        <v>8</v>
      </c>
      <c r="N41" s="109" t="s">
        <v>8</v>
      </c>
      <c r="O41" s="305" t="s">
        <v>8</v>
      </c>
      <c r="P41" s="109" t="s">
        <v>8</v>
      </c>
      <c r="Q41" s="109" t="s">
        <v>8</v>
      </c>
      <c r="R41" s="109" t="s">
        <v>8</v>
      </c>
      <c r="S41" s="109" t="s">
        <v>8</v>
      </c>
      <c r="T41" s="109" t="s">
        <v>8</v>
      </c>
      <c r="U41" s="109" t="s">
        <v>8</v>
      </c>
      <c r="V41" s="305" t="s">
        <v>8</v>
      </c>
      <c r="W41" s="109" t="s">
        <v>8</v>
      </c>
      <c r="X41" s="109" t="s">
        <v>8</v>
      </c>
      <c r="Y41" s="109" t="s">
        <v>8</v>
      </c>
      <c r="Z41" s="109" t="s">
        <v>8</v>
      </c>
      <c r="AA41" s="109" t="s">
        <v>8</v>
      </c>
      <c r="AB41" s="109" t="s">
        <v>8</v>
      </c>
      <c r="AC41" s="305" t="s">
        <v>8</v>
      </c>
      <c r="AD41" s="109" t="s">
        <v>8</v>
      </c>
      <c r="AE41" s="306" t="s">
        <v>8</v>
      </c>
    </row>
    <row r="42" spans="1:31" ht="12.75">
      <c r="A42" s="299" t="s">
        <v>328</v>
      </c>
      <c r="B42" s="300" t="s">
        <v>329</v>
      </c>
      <c r="C42" s="301">
        <v>38477</v>
      </c>
      <c r="D42" s="301">
        <v>37382</v>
      </c>
      <c r="E42" s="302">
        <v>99.8</v>
      </c>
      <c r="F42" s="303">
        <v>302.4826</v>
      </c>
      <c r="G42" s="109">
        <v>37333</v>
      </c>
      <c r="H42" s="109">
        <v>37354</v>
      </c>
      <c r="I42" s="302">
        <v>99.3</v>
      </c>
      <c r="J42" s="167">
        <v>190.9304</v>
      </c>
      <c r="K42" s="109" t="s">
        <v>8</v>
      </c>
      <c r="L42" s="109" t="s">
        <v>8</v>
      </c>
      <c r="M42" s="109" t="s">
        <v>8</v>
      </c>
      <c r="N42" s="109" t="s">
        <v>8</v>
      </c>
      <c r="O42" s="305" t="s">
        <v>8</v>
      </c>
      <c r="P42" s="109" t="s">
        <v>8</v>
      </c>
      <c r="Q42" s="109" t="s">
        <v>8</v>
      </c>
      <c r="R42" s="109" t="s">
        <v>8</v>
      </c>
      <c r="S42" s="109" t="s">
        <v>8</v>
      </c>
      <c r="T42" s="109" t="s">
        <v>8</v>
      </c>
      <c r="U42" s="109" t="s">
        <v>8</v>
      </c>
      <c r="V42" s="305" t="s">
        <v>8</v>
      </c>
      <c r="W42" s="109" t="s">
        <v>8</v>
      </c>
      <c r="X42" s="109" t="s">
        <v>8</v>
      </c>
      <c r="Y42" s="109" t="s">
        <v>8</v>
      </c>
      <c r="Z42" s="109" t="s">
        <v>8</v>
      </c>
      <c r="AA42" s="109" t="s">
        <v>8</v>
      </c>
      <c r="AB42" s="109" t="s">
        <v>8</v>
      </c>
      <c r="AC42" s="305" t="s">
        <v>8</v>
      </c>
      <c r="AD42" s="109" t="s">
        <v>8</v>
      </c>
      <c r="AE42" s="306" t="s">
        <v>8</v>
      </c>
    </row>
    <row r="43" spans="1:31" ht="12.75">
      <c r="A43" s="299" t="s">
        <v>336</v>
      </c>
      <c r="B43" s="300" t="s">
        <v>337</v>
      </c>
      <c r="C43" s="301">
        <v>38569</v>
      </c>
      <c r="D43" s="301">
        <v>37473</v>
      </c>
      <c r="E43" s="302">
        <v>99.5</v>
      </c>
      <c r="F43" s="303">
        <v>259.0772</v>
      </c>
      <c r="G43" s="109">
        <v>37424</v>
      </c>
      <c r="H43" s="109">
        <v>37447</v>
      </c>
      <c r="I43" s="302">
        <v>99</v>
      </c>
      <c r="J43" s="167">
        <v>218.911</v>
      </c>
      <c r="K43" s="109" t="s">
        <v>8</v>
      </c>
      <c r="L43" s="109" t="s">
        <v>8</v>
      </c>
      <c r="M43" s="109" t="s">
        <v>8</v>
      </c>
      <c r="N43" s="109" t="s">
        <v>8</v>
      </c>
      <c r="O43" s="305" t="s">
        <v>8</v>
      </c>
      <c r="P43" s="109" t="s">
        <v>8</v>
      </c>
      <c r="Q43" s="109" t="s">
        <v>8</v>
      </c>
      <c r="R43" s="109" t="s">
        <v>8</v>
      </c>
      <c r="S43" s="109" t="s">
        <v>8</v>
      </c>
      <c r="T43" s="109" t="s">
        <v>8</v>
      </c>
      <c r="U43" s="109" t="s">
        <v>8</v>
      </c>
      <c r="V43" s="305" t="s">
        <v>8</v>
      </c>
      <c r="W43" s="109" t="s">
        <v>8</v>
      </c>
      <c r="X43" s="109" t="s">
        <v>8</v>
      </c>
      <c r="Y43" s="109" t="s">
        <v>8</v>
      </c>
      <c r="Z43" s="109" t="s">
        <v>8</v>
      </c>
      <c r="AA43" s="109" t="s">
        <v>8</v>
      </c>
      <c r="AB43" s="109" t="s">
        <v>8</v>
      </c>
      <c r="AC43" s="305" t="s">
        <v>8</v>
      </c>
      <c r="AD43" s="109" t="s">
        <v>8</v>
      </c>
      <c r="AE43" s="306" t="s">
        <v>8</v>
      </c>
    </row>
    <row r="44" spans="1:31" s="24" customFormat="1" ht="12.75">
      <c r="A44" s="290" t="s">
        <v>358</v>
      </c>
      <c r="B44" s="291" t="s">
        <v>359</v>
      </c>
      <c r="C44" s="292">
        <v>38661</v>
      </c>
      <c r="D44" s="292">
        <v>37565</v>
      </c>
      <c r="E44" s="293">
        <v>99.5</v>
      </c>
      <c r="F44" s="294">
        <v>144.6011</v>
      </c>
      <c r="G44" s="111">
        <v>37516</v>
      </c>
      <c r="H44" s="111">
        <v>37539</v>
      </c>
      <c r="I44" s="293">
        <v>99</v>
      </c>
      <c r="J44" s="171">
        <v>139.3412</v>
      </c>
      <c r="K44" s="111" t="s">
        <v>8</v>
      </c>
      <c r="L44" s="111" t="s">
        <v>8</v>
      </c>
      <c r="M44" s="111" t="s">
        <v>8</v>
      </c>
      <c r="N44" s="111" t="s">
        <v>8</v>
      </c>
      <c r="O44" s="297" t="s">
        <v>8</v>
      </c>
      <c r="P44" s="111" t="s">
        <v>8</v>
      </c>
      <c r="Q44" s="111" t="s">
        <v>8</v>
      </c>
      <c r="R44" s="111" t="s">
        <v>8</v>
      </c>
      <c r="S44" s="111" t="s">
        <v>8</v>
      </c>
      <c r="T44" s="111" t="s">
        <v>8</v>
      </c>
      <c r="U44" s="111" t="s">
        <v>8</v>
      </c>
      <c r="V44" s="297" t="s">
        <v>8</v>
      </c>
      <c r="W44" s="111" t="s">
        <v>8</v>
      </c>
      <c r="X44" s="111" t="s">
        <v>8</v>
      </c>
      <c r="Y44" s="111" t="s">
        <v>8</v>
      </c>
      <c r="Z44" s="111" t="s">
        <v>8</v>
      </c>
      <c r="AA44" s="111" t="s">
        <v>8</v>
      </c>
      <c r="AB44" s="111" t="s">
        <v>8</v>
      </c>
      <c r="AC44" s="297" t="s">
        <v>8</v>
      </c>
      <c r="AD44" s="111" t="s">
        <v>8</v>
      </c>
      <c r="AE44" s="311" t="s">
        <v>8</v>
      </c>
    </row>
    <row r="45" spans="1:31" ht="12.75">
      <c r="A45" s="299" t="s">
        <v>362</v>
      </c>
      <c r="B45" s="300" t="s">
        <v>363</v>
      </c>
      <c r="C45" s="301">
        <v>38753</v>
      </c>
      <c r="D45" s="301">
        <v>37655</v>
      </c>
      <c r="E45" s="302">
        <v>99.5</v>
      </c>
      <c r="F45" s="303">
        <v>111.5632</v>
      </c>
      <c r="G45" s="109">
        <v>37606</v>
      </c>
      <c r="H45" s="109">
        <v>37631</v>
      </c>
      <c r="I45" s="302">
        <v>99</v>
      </c>
      <c r="J45" s="167">
        <v>133.7142</v>
      </c>
      <c r="K45" s="109" t="s">
        <v>8</v>
      </c>
      <c r="L45" s="109" t="s">
        <v>8</v>
      </c>
      <c r="M45" s="109" t="s">
        <v>8</v>
      </c>
      <c r="N45" s="109" t="s">
        <v>8</v>
      </c>
      <c r="O45" s="305" t="s">
        <v>8</v>
      </c>
      <c r="P45" s="109" t="s">
        <v>8</v>
      </c>
      <c r="Q45" s="109" t="s">
        <v>8</v>
      </c>
      <c r="R45" s="109" t="s">
        <v>8</v>
      </c>
      <c r="S45" s="109" t="s">
        <v>8</v>
      </c>
      <c r="T45" s="109" t="s">
        <v>8</v>
      </c>
      <c r="U45" s="109" t="s">
        <v>8</v>
      </c>
      <c r="V45" s="305" t="s">
        <v>8</v>
      </c>
      <c r="W45" s="109" t="s">
        <v>8</v>
      </c>
      <c r="X45" s="109" t="s">
        <v>8</v>
      </c>
      <c r="Y45" s="109" t="s">
        <v>8</v>
      </c>
      <c r="Z45" s="109" t="s">
        <v>8</v>
      </c>
      <c r="AA45" s="109" t="s">
        <v>8</v>
      </c>
      <c r="AB45" s="109" t="s">
        <v>8</v>
      </c>
      <c r="AC45" s="305" t="s">
        <v>8</v>
      </c>
      <c r="AD45" s="109" t="s">
        <v>8</v>
      </c>
      <c r="AE45" s="306" t="s">
        <v>8</v>
      </c>
    </row>
    <row r="46" spans="1:256" ht="12.75">
      <c r="A46" s="299" t="s">
        <v>390</v>
      </c>
      <c r="B46" s="300" t="s">
        <v>413</v>
      </c>
      <c r="C46" s="301">
        <v>38842</v>
      </c>
      <c r="D46" s="301">
        <v>37746</v>
      </c>
      <c r="E46" s="302">
        <v>99.5</v>
      </c>
      <c r="F46" s="303">
        <v>101.7967</v>
      </c>
      <c r="G46" s="109">
        <v>37697</v>
      </c>
      <c r="H46" s="109">
        <v>37721</v>
      </c>
      <c r="I46" s="302">
        <v>99</v>
      </c>
      <c r="J46" s="167">
        <v>120.3002</v>
      </c>
      <c r="K46" s="109" t="s">
        <v>8</v>
      </c>
      <c r="L46" s="109" t="s">
        <v>8</v>
      </c>
      <c r="M46" s="109" t="s">
        <v>8</v>
      </c>
      <c r="N46" s="109" t="s">
        <v>8</v>
      </c>
      <c r="O46" s="305" t="s">
        <v>8</v>
      </c>
      <c r="P46" s="109" t="s">
        <v>8</v>
      </c>
      <c r="Q46" s="109" t="s">
        <v>8</v>
      </c>
      <c r="R46" s="109" t="s">
        <v>8</v>
      </c>
      <c r="S46" s="109" t="s">
        <v>8</v>
      </c>
      <c r="T46" s="109" t="s">
        <v>8</v>
      </c>
      <c r="U46" s="109" t="s">
        <v>8</v>
      </c>
      <c r="V46" s="305" t="s">
        <v>8</v>
      </c>
      <c r="W46" s="109" t="s">
        <v>8</v>
      </c>
      <c r="X46" s="109" t="s">
        <v>8</v>
      </c>
      <c r="Y46" s="109" t="s">
        <v>8</v>
      </c>
      <c r="Z46" s="109" t="s">
        <v>8</v>
      </c>
      <c r="AA46" s="109" t="s">
        <v>8</v>
      </c>
      <c r="AB46" s="109" t="s">
        <v>8</v>
      </c>
      <c r="AC46" s="305" t="s">
        <v>8</v>
      </c>
      <c r="AD46" s="109" t="s">
        <v>8</v>
      </c>
      <c r="AE46" s="306" t="s">
        <v>8</v>
      </c>
      <c r="AF46" s="1" t="s">
        <v>8</v>
      </c>
      <c r="AG46" s="1" t="s">
        <v>8</v>
      </c>
      <c r="AH46" s="1" t="s">
        <v>8</v>
      </c>
      <c r="AI46" s="1" t="s">
        <v>8</v>
      </c>
      <c r="AJ46" s="1" t="s">
        <v>8</v>
      </c>
      <c r="AK46" s="1" t="s">
        <v>8</v>
      </c>
      <c r="AL46" s="1" t="s">
        <v>8</v>
      </c>
      <c r="AM46" s="1" t="s">
        <v>8</v>
      </c>
      <c r="AN46" s="1" t="s">
        <v>8</v>
      </c>
      <c r="AO46" s="1" t="s">
        <v>8</v>
      </c>
      <c r="AP46" s="1" t="s">
        <v>8</v>
      </c>
      <c r="AQ46" s="1" t="s">
        <v>8</v>
      </c>
      <c r="AR46" s="1" t="s">
        <v>8</v>
      </c>
      <c r="AS46" s="1" t="s">
        <v>8</v>
      </c>
      <c r="AT46" s="1" t="s">
        <v>8</v>
      </c>
      <c r="AU46" s="1" t="s">
        <v>8</v>
      </c>
      <c r="AV46" s="1" t="s">
        <v>8</v>
      </c>
      <c r="AW46" s="1" t="s">
        <v>8</v>
      </c>
      <c r="AX46" s="1" t="s">
        <v>8</v>
      </c>
      <c r="AY46" s="1" t="s">
        <v>8</v>
      </c>
      <c r="AZ46" s="1" t="s">
        <v>8</v>
      </c>
      <c r="BA46" s="1" t="s">
        <v>8</v>
      </c>
      <c r="BB46" s="1" t="s">
        <v>8</v>
      </c>
      <c r="BC46" s="1" t="s">
        <v>8</v>
      </c>
      <c r="BD46" s="1" t="s">
        <v>8</v>
      </c>
      <c r="BE46" s="1" t="s">
        <v>8</v>
      </c>
      <c r="BF46" s="1" t="s">
        <v>8</v>
      </c>
      <c r="BG46" s="1" t="s">
        <v>8</v>
      </c>
      <c r="BH46" s="1" t="s">
        <v>8</v>
      </c>
      <c r="BI46" s="1" t="s">
        <v>8</v>
      </c>
      <c r="BJ46" s="1" t="s">
        <v>8</v>
      </c>
      <c r="BK46" s="1" t="s">
        <v>8</v>
      </c>
      <c r="BL46" s="1" t="s">
        <v>8</v>
      </c>
      <c r="BM46" s="1" t="s">
        <v>8</v>
      </c>
      <c r="BN46" s="1" t="s">
        <v>8</v>
      </c>
      <c r="BO46" s="1" t="s">
        <v>8</v>
      </c>
      <c r="BP46" s="1" t="s">
        <v>8</v>
      </c>
      <c r="BQ46" s="1" t="s">
        <v>8</v>
      </c>
      <c r="BR46" s="1" t="s">
        <v>8</v>
      </c>
      <c r="BS46" s="1" t="s">
        <v>8</v>
      </c>
      <c r="BT46" s="1" t="s">
        <v>8</v>
      </c>
      <c r="BU46" s="1" t="s">
        <v>8</v>
      </c>
      <c r="BV46" s="1" t="s">
        <v>8</v>
      </c>
      <c r="BW46" s="1" t="s">
        <v>8</v>
      </c>
      <c r="BX46" s="1" t="s">
        <v>8</v>
      </c>
      <c r="BY46" s="1" t="s">
        <v>8</v>
      </c>
      <c r="BZ46" s="1" t="s">
        <v>8</v>
      </c>
      <c r="CA46" s="1" t="s">
        <v>8</v>
      </c>
      <c r="CB46" s="1" t="s">
        <v>8</v>
      </c>
      <c r="CC46" s="1" t="s">
        <v>8</v>
      </c>
      <c r="CD46" s="1" t="s">
        <v>8</v>
      </c>
      <c r="CE46" s="1" t="s">
        <v>8</v>
      </c>
      <c r="CF46" s="1" t="s">
        <v>8</v>
      </c>
      <c r="CG46" s="1" t="s">
        <v>8</v>
      </c>
      <c r="CH46" s="1" t="s">
        <v>8</v>
      </c>
      <c r="CI46" s="1" t="s">
        <v>8</v>
      </c>
      <c r="CJ46" s="1" t="s">
        <v>8</v>
      </c>
      <c r="CK46" s="1" t="s">
        <v>8</v>
      </c>
      <c r="CL46" s="1" t="s">
        <v>8</v>
      </c>
      <c r="CM46" s="1" t="s">
        <v>8</v>
      </c>
      <c r="CN46" s="1" t="s">
        <v>8</v>
      </c>
      <c r="CO46" s="1" t="s">
        <v>8</v>
      </c>
      <c r="CP46" s="1" t="s">
        <v>8</v>
      </c>
      <c r="CQ46" s="1" t="s">
        <v>8</v>
      </c>
      <c r="CR46" s="1" t="s">
        <v>8</v>
      </c>
      <c r="CS46" s="1" t="s">
        <v>8</v>
      </c>
      <c r="CT46" s="1" t="s">
        <v>8</v>
      </c>
      <c r="CU46" s="1" t="s">
        <v>8</v>
      </c>
      <c r="CV46" s="1" t="s">
        <v>8</v>
      </c>
      <c r="CW46" s="1" t="s">
        <v>8</v>
      </c>
      <c r="CX46" s="1" t="s">
        <v>8</v>
      </c>
      <c r="CY46" s="1" t="s">
        <v>8</v>
      </c>
      <c r="CZ46" s="1" t="s">
        <v>8</v>
      </c>
      <c r="DA46" s="1" t="s">
        <v>8</v>
      </c>
      <c r="DB46" s="1" t="s">
        <v>8</v>
      </c>
      <c r="DC46" s="1" t="s">
        <v>8</v>
      </c>
      <c r="DD46" s="1" t="s">
        <v>8</v>
      </c>
      <c r="DE46" s="1" t="s">
        <v>8</v>
      </c>
      <c r="DF46" s="1" t="s">
        <v>8</v>
      </c>
      <c r="DG46" s="1" t="s">
        <v>8</v>
      </c>
      <c r="DH46" s="1" t="s">
        <v>8</v>
      </c>
      <c r="DI46" s="1" t="s">
        <v>8</v>
      </c>
      <c r="DJ46" s="1" t="s">
        <v>8</v>
      </c>
      <c r="DK46" s="1" t="s">
        <v>8</v>
      </c>
      <c r="DL46" s="1" t="s">
        <v>8</v>
      </c>
      <c r="DM46" s="1" t="s">
        <v>8</v>
      </c>
      <c r="DN46" s="1" t="s">
        <v>8</v>
      </c>
      <c r="DO46" s="1" t="s">
        <v>8</v>
      </c>
      <c r="DP46" s="1" t="s">
        <v>8</v>
      </c>
      <c r="DQ46" s="1" t="s">
        <v>8</v>
      </c>
      <c r="DR46" s="1" t="s">
        <v>8</v>
      </c>
      <c r="DS46" s="1" t="s">
        <v>8</v>
      </c>
      <c r="DT46" s="1" t="s">
        <v>8</v>
      </c>
      <c r="DU46" s="1" t="s">
        <v>8</v>
      </c>
      <c r="DV46" s="1" t="s">
        <v>8</v>
      </c>
      <c r="DW46" s="1" t="s">
        <v>8</v>
      </c>
      <c r="DX46" s="1" t="s">
        <v>8</v>
      </c>
      <c r="DY46" s="1" t="s">
        <v>8</v>
      </c>
      <c r="DZ46" s="1" t="s">
        <v>8</v>
      </c>
      <c r="EA46" s="1" t="s">
        <v>8</v>
      </c>
      <c r="EB46" s="1" t="s">
        <v>8</v>
      </c>
      <c r="EC46" s="1" t="s">
        <v>8</v>
      </c>
      <c r="ED46" s="1" t="s">
        <v>8</v>
      </c>
      <c r="EE46" s="1" t="s">
        <v>8</v>
      </c>
      <c r="EF46" s="1" t="s">
        <v>8</v>
      </c>
      <c r="EG46" s="1" t="s">
        <v>8</v>
      </c>
      <c r="EH46" s="1" t="s">
        <v>8</v>
      </c>
      <c r="EI46" s="1" t="s">
        <v>8</v>
      </c>
      <c r="EJ46" s="1" t="s">
        <v>8</v>
      </c>
      <c r="EK46" s="1" t="s">
        <v>8</v>
      </c>
      <c r="EL46" s="1" t="s">
        <v>8</v>
      </c>
      <c r="EM46" s="1" t="s">
        <v>8</v>
      </c>
      <c r="EN46" s="1" t="s">
        <v>8</v>
      </c>
      <c r="EO46" s="1" t="s">
        <v>8</v>
      </c>
      <c r="EP46" s="1" t="s">
        <v>8</v>
      </c>
      <c r="EQ46" s="1" t="s">
        <v>8</v>
      </c>
      <c r="ER46" s="1" t="s">
        <v>8</v>
      </c>
      <c r="ES46" s="1" t="s">
        <v>8</v>
      </c>
      <c r="ET46" s="1" t="s">
        <v>8</v>
      </c>
      <c r="EU46" s="1" t="s">
        <v>8</v>
      </c>
      <c r="EV46" s="1" t="s">
        <v>8</v>
      </c>
      <c r="EW46" s="1" t="s">
        <v>8</v>
      </c>
      <c r="EX46" s="1" t="s">
        <v>8</v>
      </c>
      <c r="EY46" s="1" t="s">
        <v>8</v>
      </c>
      <c r="EZ46" s="1" t="s">
        <v>8</v>
      </c>
      <c r="FA46" s="1" t="s">
        <v>8</v>
      </c>
      <c r="FB46" s="1" t="s">
        <v>8</v>
      </c>
      <c r="FC46" s="1" t="s">
        <v>8</v>
      </c>
      <c r="FD46" s="1" t="s">
        <v>8</v>
      </c>
      <c r="FE46" s="1" t="s">
        <v>8</v>
      </c>
      <c r="FF46" s="1" t="s">
        <v>8</v>
      </c>
      <c r="FG46" s="1" t="s">
        <v>8</v>
      </c>
      <c r="FH46" s="1" t="s">
        <v>8</v>
      </c>
      <c r="FI46" s="1" t="s">
        <v>8</v>
      </c>
      <c r="FJ46" s="1" t="s">
        <v>8</v>
      </c>
      <c r="FK46" s="1" t="s">
        <v>8</v>
      </c>
      <c r="FL46" s="1" t="s">
        <v>8</v>
      </c>
      <c r="FM46" s="1" t="s">
        <v>8</v>
      </c>
      <c r="FN46" s="1" t="s">
        <v>8</v>
      </c>
      <c r="FO46" s="1" t="s">
        <v>8</v>
      </c>
      <c r="FP46" s="1" t="s">
        <v>8</v>
      </c>
      <c r="FQ46" s="1" t="s">
        <v>8</v>
      </c>
      <c r="FR46" s="1" t="s">
        <v>8</v>
      </c>
      <c r="FS46" s="1" t="s">
        <v>8</v>
      </c>
      <c r="FT46" s="1" t="s">
        <v>8</v>
      </c>
      <c r="FU46" s="1" t="s">
        <v>8</v>
      </c>
      <c r="FV46" s="1" t="s">
        <v>8</v>
      </c>
      <c r="FW46" s="1" t="s">
        <v>8</v>
      </c>
      <c r="FX46" s="1" t="s">
        <v>8</v>
      </c>
      <c r="FY46" s="1" t="s">
        <v>8</v>
      </c>
      <c r="FZ46" s="1" t="s">
        <v>8</v>
      </c>
      <c r="GA46" s="1" t="s">
        <v>8</v>
      </c>
      <c r="GB46" s="1" t="s">
        <v>8</v>
      </c>
      <c r="GC46" s="1" t="s">
        <v>8</v>
      </c>
      <c r="GD46" s="1" t="s">
        <v>8</v>
      </c>
      <c r="GE46" s="1" t="s">
        <v>8</v>
      </c>
      <c r="GF46" s="1" t="s">
        <v>8</v>
      </c>
      <c r="GG46" s="1" t="s">
        <v>8</v>
      </c>
      <c r="GH46" s="1" t="s">
        <v>8</v>
      </c>
      <c r="GI46" s="1" t="s">
        <v>8</v>
      </c>
      <c r="GJ46" s="1" t="s">
        <v>8</v>
      </c>
      <c r="GK46" s="1" t="s">
        <v>8</v>
      </c>
      <c r="GL46" s="1" t="s">
        <v>8</v>
      </c>
      <c r="GM46" s="1" t="s">
        <v>8</v>
      </c>
      <c r="GN46" s="1" t="s">
        <v>8</v>
      </c>
      <c r="GO46" s="1" t="s">
        <v>8</v>
      </c>
      <c r="GP46" s="1" t="s">
        <v>8</v>
      </c>
      <c r="GQ46" s="1" t="s">
        <v>8</v>
      </c>
      <c r="GR46" s="1" t="s">
        <v>8</v>
      </c>
      <c r="GS46" s="1" t="s">
        <v>8</v>
      </c>
      <c r="GT46" s="1" t="s">
        <v>8</v>
      </c>
      <c r="GU46" s="1" t="s">
        <v>8</v>
      </c>
      <c r="GV46" s="1" t="s">
        <v>8</v>
      </c>
      <c r="GW46" s="1" t="s">
        <v>8</v>
      </c>
      <c r="GX46" s="1" t="s">
        <v>8</v>
      </c>
      <c r="GY46" s="1" t="s">
        <v>8</v>
      </c>
      <c r="GZ46" s="1" t="s">
        <v>8</v>
      </c>
      <c r="HA46" s="1" t="s">
        <v>8</v>
      </c>
      <c r="HB46" s="1" t="s">
        <v>8</v>
      </c>
      <c r="HC46" s="1" t="s">
        <v>8</v>
      </c>
      <c r="HD46" s="1" t="s">
        <v>8</v>
      </c>
      <c r="HE46" s="1" t="s">
        <v>8</v>
      </c>
      <c r="HF46" s="1" t="s">
        <v>8</v>
      </c>
      <c r="HG46" s="1" t="s">
        <v>8</v>
      </c>
      <c r="HH46" s="1" t="s">
        <v>8</v>
      </c>
      <c r="HI46" s="1" t="s">
        <v>8</v>
      </c>
      <c r="HJ46" s="1" t="s">
        <v>8</v>
      </c>
      <c r="HK46" s="1" t="s">
        <v>8</v>
      </c>
      <c r="HL46" s="1" t="s">
        <v>8</v>
      </c>
      <c r="HM46" s="1" t="s">
        <v>8</v>
      </c>
      <c r="HN46" s="1" t="s">
        <v>8</v>
      </c>
      <c r="HO46" s="1" t="s">
        <v>8</v>
      </c>
      <c r="HP46" s="1" t="s">
        <v>8</v>
      </c>
      <c r="HQ46" s="1" t="s">
        <v>8</v>
      </c>
      <c r="HR46" s="1" t="s">
        <v>8</v>
      </c>
      <c r="HS46" s="1" t="s">
        <v>8</v>
      </c>
      <c r="HT46" s="1" t="s">
        <v>8</v>
      </c>
      <c r="HU46" s="1" t="s">
        <v>8</v>
      </c>
      <c r="HV46" s="1" t="s">
        <v>8</v>
      </c>
      <c r="HW46" s="1" t="s">
        <v>8</v>
      </c>
      <c r="HX46" s="1" t="s">
        <v>8</v>
      </c>
      <c r="HY46" s="1" t="s">
        <v>8</v>
      </c>
      <c r="HZ46" s="1" t="s">
        <v>8</v>
      </c>
      <c r="IA46" s="1" t="s">
        <v>8</v>
      </c>
      <c r="IB46" s="1" t="s">
        <v>8</v>
      </c>
      <c r="IC46" s="1" t="s">
        <v>8</v>
      </c>
      <c r="ID46" s="1" t="s">
        <v>8</v>
      </c>
      <c r="IE46" s="1" t="s">
        <v>8</v>
      </c>
      <c r="IF46" s="1" t="s">
        <v>8</v>
      </c>
      <c r="IG46" s="1" t="s">
        <v>8</v>
      </c>
      <c r="IH46" s="1" t="s">
        <v>8</v>
      </c>
      <c r="II46" s="1" t="s">
        <v>8</v>
      </c>
      <c r="IJ46" s="1" t="s">
        <v>8</v>
      </c>
      <c r="IK46" s="1" t="s">
        <v>8</v>
      </c>
      <c r="IL46" s="1" t="s">
        <v>8</v>
      </c>
      <c r="IM46" s="1" t="s">
        <v>8</v>
      </c>
      <c r="IN46" s="1" t="s">
        <v>8</v>
      </c>
      <c r="IO46" s="1" t="s">
        <v>8</v>
      </c>
      <c r="IP46" s="1" t="s">
        <v>8</v>
      </c>
      <c r="IQ46" s="1" t="s">
        <v>8</v>
      </c>
      <c r="IR46" s="1" t="s">
        <v>8</v>
      </c>
      <c r="IS46" s="1" t="s">
        <v>8</v>
      </c>
      <c r="IT46" s="1" t="s">
        <v>8</v>
      </c>
      <c r="IU46" s="1" t="s">
        <v>8</v>
      </c>
      <c r="IV46" s="1" t="s">
        <v>8</v>
      </c>
    </row>
    <row r="47" spans="1:256" ht="12.75">
      <c r="A47" s="299" t="s">
        <v>401</v>
      </c>
      <c r="B47" s="300" t="s">
        <v>414</v>
      </c>
      <c r="C47" s="301">
        <v>38934</v>
      </c>
      <c r="D47" s="301">
        <v>37834</v>
      </c>
      <c r="E47" s="302">
        <v>97.5</v>
      </c>
      <c r="F47" s="303">
        <v>363.3048</v>
      </c>
      <c r="G47" s="109" t="s">
        <v>8</v>
      </c>
      <c r="H47" s="109" t="s">
        <v>8</v>
      </c>
      <c r="I47" s="302" t="s">
        <v>8</v>
      </c>
      <c r="J47" s="316" t="s">
        <v>8</v>
      </c>
      <c r="K47" s="109" t="s">
        <v>8</v>
      </c>
      <c r="L47" s="109" t="s">
        <v>8</v>
      </c>
      <c r="M47" s="109" t="s">
        <v>8</v>
      </c>
      <c r="N47" s="109" t="s">
        <v>8</v>
      </c>
      <c r="O47" s="305" t="s">
        <v>8</v>
      </c>
      <c r="P47" s="109" t="s">
        <v>8</v>
      </c>
      <c r="Q47" s="109" t="s">
        <v>8</v>
      </c>
      <c r="R47" s="109" t="s">
        <v>8</v>
      </c>
      <c r="S47" s="109" t="s">
        <v>8</v>
      </c>
      <c r="T47" s="109" t="s">
        <v>8</v>
      </c>
      <c r="U47" s="109" t="s">
        <v>8</v>
      </c>
      <c r="V47" s="305" t="s">
        <v>8</v>
      </c>
      <c r="W47" s="109" t="s">
        <v>8</v>
      </c>
      <c r="X47" s="109" t="s">
        <v>8</v>
      </c>
      <c r="Y47" s="109" t="s">
        <v>8</v>
      </c>
      <c r="Z47" s="109" t="s">
        <v>8</v>
      </c>
      <c r="AA47" s="109" t="s">
        <v>8</v>
      </c>
      <c r="AB47" s="109" t="s">
        <v>8</v>
      </c>
      <c r="AC47" s="305" t="s">
        <v>8</v>
      </c>
      <c r="AD47" s="109" t="s">
        <v>8</v>
      </c>
      <c r="AE47" s="306" t="s">
        <v>8</v>
      </c>
      <c r="AF47" s="1" t="s">
        <v>8</v>
      </c>
      <c r="AG47" s="1" t="s">
        <v>8</v>
      </c>
      <c r="AH47" s="1" t="s">
        <v>8</v>
      </c>
      <c r="AI47" s="1" t="s">
        <v>8</v>
      </c>
      <c r="AJ47" s="1" t="s">
        <v>8</v>
      </c>
      <c r="AK47" s="1" t="s">
        <v>8</v>
      </c>
      <c r="AL47" s="1" t="s">
        <v>8</v>
      </c>
      <c r="AM47" s="1" t="s">
        <v>8</v>
      </c>
      <c r="AN47" s="1" t="s">
        <v>8</v>
      </c>
      <c r="AO47" s="1" t="s">
        <v>8</v>
      </c>
      <c r="AP47" s="1" t="s">
        <v>8</v>
      </c>
      <c r="AQ47" s="1" t="s">
        <v>8</v>
      </c>
      <c r="AR47" s="1" t="s">
        <v>8</v>
      </c>
      <c r="AS47" s="1" t="s">
        <v>8</v>
      </c>
      <c r="AT47" s="1" t="s">
        <v>8</v>
      </c>
      <c r="AU47" s="1" t="s">
        <v>8</v>
      </c>
      <c r="AV47" s="1" t="s">
        <v>8</v>
      </c>
      <c r="AW47" s="1" t="s">
        <v>8</v>
      </c>
      <c r="AX47" s="1" t="s">
        <v>8</v>
      </c>
      <c r="AY47" s="1" t="s">
        <v>8</v>
      </c>
      <c r="AZ47" s="1" t="s">
        <v>8</v>
      </c>
      <c r="BA47" s="1" t="s">
        <v>8</v>
      </c>
      <c r="BB47" s="1" t="s">
        <v>8</v>
      </c>
      <c r="BC47" s="1" t="s">
        <v>8</v>
      </c>
      <c r="BD47" s="1" t="s">
        <v>8</v>
      </c>
      <c r="BE47" s="1" t="s">
        <v>8</v>
      </c>
      <c r="BF47" s="1" t="s">
        <v>8</v>
      </c>
      <c r="BG47" s="1" t="s">
        <v>8</v>
      </c>
      <c r="BH47" s="1" t="s">
        <v>8</v>
      </c>
      <c r="BI47" s="1" t="s">
        <v>8</v>
      </c>
      <c r="BJ47" s="1" t="s">
        <v>8</v>
      </c>
      <c r="BK47" s="1" t="s">
        <v>8</v>
      </c>
      <c r="BL47" s="1" t="s">
        <v>8</v>
      </c>
      <c r="BM47" s="1" t="s">
        <v>8</v>
      </c>
      <c r="BN47" s="1" t="s">
        <v>8</v>
      </c>
      <c r="BO47" s="1" t="s">
        <v>8</v>
      </c>
      <c r="BP47" s="1" t="s">
        <v>8</v>
      </c>
      <c r="BQ47" s="1" t="s">
        <v>8</v>
      </c>
      <c r="BR47" s="1" t="s">
        <v>8</v>
      </c>
      <c r="BS47" s="1" t="s">
        <v>8</v>
      </c>
      <c r="BT47" s="1" t="s">
        <v>8</v>
      </c>
      <c r="BU47" s="1" t="s">
        <v>8</v>
      </c>
      <c r="BV47" s="1" t="s">
        <v>8</v>
      </c>
      <c r="BW47" s="1" t="s">
        <v>8</v>
      </c>
      <c r="BX47" s="1" t="s">
        <v>8</v>
      </c>
      <c r="BY47" s="1" t="s">
        <v>8</v>
      </c>
      <c r="BZ47" s="1" t="s">
        <v>8</v>
      </c>
      <c r="CA47" s="1" t="s">
        <v>8</v>
      </c>
      <c r="CB47" s="1" t="s">
        <v>8</v>
      </c>
      <c r="CC47" s="1" t="s">
        <v>8</v>
      </c>
      <c r="CD47" s="1" t="s">
        <v>8</v>
      </c>
      <c r="CE47" s="1" t="s">
        <v>8</v>
      </c>
      <c r="CF47" s="1" t="s">
        <v>8</v>
      </c>
      <c r="CG47" s="1" t="s">
        <v>8</v>
      </c>
      <c r="CH47" s="1" t="s">
        <v>8</v>
      </c>
      <c r="CI47" s="1" t="s">
        <v>8</v>
      </c>
      <c r="CJ47" s="1" t="s">
        <v>8</v>
      </c>
      <c r="CK47" s="1" t="s">
        <v>8</v>
      </c>
      <c r="CL47" s="1" t="s">
        <v>8</v>
      </c>
      <c r="CM47" s="1" t="s">
        <v>8</v>
      </c>
      <c r="CN47" s="1" t="s">
        <v>8</v>
      </c>
      <c r="CO47" s="1" t="s">
        <v>8</v>
      </c>
      <c r="CP47" s="1" t="s">
        <v>8</v>
      </c>
      <c r="CQ47" s="1" t="s">
        <v>8</v>
      </c>
      <c r="CR47" s="1" t="s">
        <v>8</v>
      </c>
      <c r="CS47" s="1" t="s">
        <v>8</v>
      </c>
      <c r="CT47" s="1" t="s">
        <v>8</v>
      </c>
      <c r="CU47" s="1" t="s">
        <v>8</v>
      </c>
      <c r="CV47" s="1" t="s">
        <v>8</v>
      </c>
      <c r="CW47" s="1" t="s">
        <v>8</v>
      </c>
      <c r="CX47" s="1" t="s">
        <v>8</v>
      </c>
      <c r="CY47" s="1" t="s">
        <v>8</v>
      </c>
      <c r="CZ47" s="1" t="s">
        <v>8</v>
      </c>
      <c r="DA47" s="1" t="s">
        <v>8</v>
      </c>
      <c r="DB47" s="1" t="s">
        <v>8</v>
      </c>
      <c r="DC47" s="1" t="s">
        <v>8</v>
      </c>
      <c r="DD47" s="1" t="s">
        <v>8</v>
      </c>
      <c r="DE47" s="1" t="s">
        <v>8</v>
      </c>
      <c r="DF47" s="1" t="s">
        <v>8</v>
      </c>
      <c r="DG47" s="1" t="s">
        <v>8</v>
      </c>
      <c r="DH47" s="1" t="s">
        <v>8</v>
      </c>
      <c r="DI47" s="1" t="s">
        <v>8</v>
      </c>
      <c r="DJ47" s="1" t="s">
        <v>8</v>
      </c>
      <c r="DK47" s="1" t="s">
        <v>8</v>
      </c>
      <c r="DL47" s="1" t="s">
        <v>8</v>
      </c>
      <c r="DM47" s="1" t="s">
        <v>8</v>
      </c>
      <c r="DN47" s="1" t="s">
        <v>8</v>
      </c>
      <c r="DO47" s="1" t="s">
        <v>8</v>
      </c>
      <c r="DP47" s="1" t="s">
        <v>8</v>
      </c>
      <c r="DQ47" s="1" t="s">
        <v>8</v>
      </c>
      <c r="DR47" s="1" t="s">
        <v>8</v>
      </c>
      <c r="DS47" s="1" t="s">
        <v>8</v>
      </c>
      <c r="DT47" s="1" t="s">
        <v>8</v>
      </c>
      <c r="DU47" s="1" t="s">
        <v>8</v>
      </c>
      <c r="DV47" s="1" t="s">
        <v>8</v>
      </c>
      <c r="DW47" s="1" t="s">
        <v>8</v>
      </c>
      <c r="DX47" s="1" t="s">
        <v>8</v>
      </c>
      <c r="DY47" s="1" t="s">
        <v>8</v>
      </c>
      <c r="DZ47" s="1" t="s">
        <v>8</v>
      </c>
      <c r="EA47" s="1" t="s">
        <v>8</v>
      </c>
      <c r="EB47" s="1" t="s">
        <v>8</v>
      </c>
      <c r="EC47" s="1" t="s">
        <v>8</v>
      </c>
      <c r="ED47" s="1" t="s">
        <v>8</v>
      </c>
      <c r="EE47" s="1" t="s">
        <v>8</v>
      </c>
      <c r="EF47" s="1" t="s">
        <v>8</v>
      </c>
      <c r="EG47" s="1" t="s">
        <v>8</v>
      </c>
      <c r="EH47" s="1" t="s">
        <v>8</v>
      </c>
      <c r="EI47" s="1" t="s">
        <v>8</v>
      </c>
      <c r="EJ47" s="1" t="s">
        <v>8</v>
      </c>
      <c r="EK47" s="1" t="s">
        <v>8</v>
      </c>
      <c r="EL47" s="1" t="s">
        <v>8</v>
      </c>
      <c r="EM47" s="1" t="s">
        <v>8</v>
      </c>
      <c r="EN47" s="1" t="s">
        <v>8</v>
      </c>
      <c r="EO47" s="1" t="s">
        <v>8</v>
      </c>
      <c r="EP47" s="1" t="s">
        <v>8</v>
      </c>
      <c r="EQ47" s="1" t="s">
        <v>8</v>
      </c>
      <c r="ER47" s="1" t="s">
        <v>8</v>
      </c>
      <c r="ES47" s="1" t="s">
        <v>8</v>
      </c>
      <c r="ET47" s="1" t="s">
        <v>8</v>
      </c>
      <c r="EU47" s="1" t="s">
        <v>8</v>
      </c>
      <c r="EV47" s="1" t="s">
        <v>8</v>
      </c>
      <c r="EW47" s="1" t="s">
        <v>8</v>
      </c>
      <c r="EX47" s="1" t="s">
        <v>8</v>
      </c>
      <c r="EY47" s="1" t="s">
        <v>8</v>
      </c>
      <c r="EZ47" s="1" t="s">
        <v>8</v>
      </c>
      <c r="FA47" s="1" t="s">
        <v>8</v>
      </c>
      <c r="FB47" s="1" t="s">
        <v>8</v>
      </c>
      <c r="FC47" s="1" t="s">
        <v>8</v>
      </c>
      <c r="FD47" s="1" t="s">
        <v>8</v>
      </c>
      <c r="FE47" s="1" t="s">
        <v>8</v>
      </c>
      <c r="FF47" s="1" t="s">
        <v>8</v>
      </c>
      <c r="FG47" s="1" t="s">
        <v>8</v>
      </c>
      <c r="FH47" s="1" t="s">
        <v>8</v>
      </c>
      <c r="FI47" s="1" t="s">
        <v>8</v>
      </c>
      <c r="FJ47" s="1" t="s">
        <v>8</v>
      </c>
      <c r="FK47" s="1" t="s">
        <v>8</v>
      </c>
      <c r="FL47" s="1" t="s">
        <v>8</v>
      </c>
      <c r="FM47" s="1" t="s">
        <v>8</v>
      </c>
      <c r="FN47" s="1" t="s">
        <v>8</v>
      </c>
      <c r="FO47" s="1" t="s">
        <v>8</v>
      </c>
      <c r="FP47" s="1" t="s">
        <v>8</v>
      </c>
      <c r="FQ47" s="1" t="s">
        <v>8</v>
      </c>
      <c r="FR47" s="1" t="s">
        <v>8</v>
      </c>
      <c r="FS47" s="1" t="s">
        <v>8</v>
      </c>
      <c r="FT47" s="1" t="s">
        <v>8</v>
      </c>
      <c r="FU47" s="1" t="s">
        <v>8</v>
      </c>
      <c r="FV47" s="1" t="s">
        <v>8</v>
      </c>
      <c r="FW47" s="1" t="s">
        <v>8</v>
      </c>
      <c r="FX47" s="1" t="s">
        <v>8</v>
      </c>
      <c r="FY47" s="1" t="s">
        <v>8</v>
      </c>
      <c r="FZ47" s="1" t="s">
        <v>8</v>
      </c>
      <c r="GA47" s="1" t="s">
        <v>8</v>
      </c>
      <c r="GB47" s="1" t="s">
        <v>8</v>
      </c>
      <c r="GC47" s="1" t="s">
        <v>8</v>
      </c>
      <c r="GD47" s="1" t="s">
        <v>8</v>
      </c>
      <c r="GE47" s="1" t="s">
        <v>8</v>
      </c>
      <c r="GF47" s="1" t="s">
        <v>8</v>
      </c>
      <c r="GG47" s="1" t="s">
        <v>8</v>
      </c>
      <c r="GH47" s="1" t="s">
        <v>8</v>
      </c>
      <c r="GI47" s="1" t="s">
        <v>8</v>
      </c>
      <c r="GJ47" s="1" t="s">
        <v>8</v>
      </c>
      <c r="GK47" s="1" t="s">
        <v>8</v>
      </c>
      <c r="GL47" s="1" t="s">
        <v>8</v>
      </c>
      <c r="GM47" s="1" t="s">
        <v>8</v>
      </c>
      <c r="GN47" s="1" t="s">
        <v>8</v>
      </c>
      <c r="GO47" s="1" t="s">
        <v>8</v>
      </c>
      <c r="GP47" s="1" t="s">
        <v>8</v>
      </c>
      <c r="GQ47" s="1" t="s">
        <v>8</v>
      </c>
      <c r="GR47" s="1" t="s">
        <v>8</v>
      </c>
      <c r="GS47" s="1" t="s">
        <v>8</v>
      </c>
      <c r="GT47" s="1" t="s">
        <v>8</v>
      </c>
      <c r="GU47" s="1" t="s">
        <v>8</v>
      </c>
      <c r="GV47" s="1" t="s">
        <v>8</v>
      </c>
      <c r="GW47" s="1" t="s">
        <v>8</v>
      </c>
      <c r="GX47" s="1" t="s">
        <v>8</v>
      </c>
      <c r="GY47" s="1" t="s">
        <v>8</v>
      </c>
      <c r="GZ47" s="1" t="s">
        <v>8</v>
      </c>
      <c r="HA47" s="1" t="s">
        <v>8</v>
      </c>
      <c r="HB47" s="1" t="s">
        <v>8</v>
      </c>
      <c r="HC47" s="1" t="s">
        <v>8</v>
      </c>
      <c r="HD47" s="1" t="s">
        <v>8</v>
      </c>
      <c r="HE47" s="1" t="s">
        <v>8</v>
      </c>
      <c r="HF47" s="1" t="s">
        <v>8</v>
      </c>
      <c r="HG47" s="1" t="s">
        <v>8</v>
      </c>
      <c r="HH47" s="1" t="s">
        <v>8</v>
      </c>
      <c r="HI47" s="1" t="s">
        <v>8</v>
      </c>
      <c r="HJ47" s="1" t="s">
        <v>8</v>
      </c>
      <c r="HK47" s="1" t="s">
        <v>8</v>
      </c>
      <c r="HL47" s="1" t="s">
        <v>8</v>
      </c>
      <c r="HM47" s="1" t="s">
        <v>8</v>
      </c>
      <c r="HN47" s="1" t="s">
        <v>8</v>
      </c>
      <c r="HO47" s="1" t="s">
        <v>8</v>
      </c>
      <c r="HP47" s="1" t="s">
        <v>8</v>
      </c>
      <c r="HQ47" s="1" t="s">
        <v>8</v>
      </c>
      <c r="HR47" s="1" t="s">
        <v>8</v>
      </c>
      <c r="HS47" s="1" t="s">
        <v>8</v>
      </c>
      <c r="HT47" s="1" t="s">
        <v>8</v>
      </c>
      <c r="HU47" s="1" t="s">
        <v>8</v>
      </c>
      <c r="HV47" s="1" t="s">
        <v>8</v>
      </c>
      <c r="HW47" s="1" t="s">
        <v>8</v>
      </c>
      <c r="HX47" s="1" t="s">
        <v>8</v>
      </c>
      <c r="HY47" s="1" t="s">
        <v>8</v>
      </c>
      <c r="HZ47" s="1" t="s">
        <v>8</v>
      </c>
      <c r="IA47" s="1" t="s">
        <v>8</v>
      </c>
      <c r="IB47" s="1" t="s">
        <v>8</v>
      </c>
      <c r="IC47" s="1" t="s">
        <v>8</v>
      </c>
      <c r="ID47" s="1" t="s">
        <v>8</v>
      </c>
      <c r="IE47" s="1" t="s">
        <v>8</v>
      </c>
      <c r="IF47" s="1" t="s">
        <v>8</v>
      </c>
      <c r="IG47" s="1" t="s">
        <v>8</v>
      </c>
      <c r="IH47" s="1" t="s">
        <v>8</v>
      </c>
      <c r="II47" s="1" t="s">
        <v>8</v>
      </c>
      <c r="IJ47" s="1" t="s">
        <v>8</v>
      </c>
      <c r="IK47" s="1" t="s">
        <v>8</v>
      </c>
      <c r="IL47" s="1" t="s">
        <v>8</v>
      </c>
      <c r="IM47" s="1" t="s">
        <v>8</v>
      </c>
      <c r="IN47" s="1" t="s">
        <v>8</v>
      </c>
      <c r="IO47" s="1" t="s">
        <v>8</v>
      </c>
      <c r="IP47" s="1" t="s">
        <v>8</v>
      </c>
      <c r="IQ47" s="1" t="s">
        <v>8</v>
      </c>
      <c r="IR47" s="1" t="s">
        <v>8</v>
      </c>
      <c r="IS47" s="1" t="s">
        <v>8</v>
      </c>
      <c r="IT47" s="1" t="s">
        <v>8</v>
      </c>
      <c r="IU47" s="1" t="s">
        <v>8</v>
      </c>
      <c r="IV47" s="1" t="s">
        <v>8</v>
      </c>
    </row>
    <row r="48" spans="1:31" s="24" customFormat="1" ht="12.75">
      <c r="A48" s="290" t="s">
        <v>412</v>
      </c>
      <c r="B48" s="291" t="s">
        <v>447</v>
      </c>
      <c r="C48" s="292">
        <v>39026</v>
      </c>
      <c r="D48" s="292">
        <v>37928</v>
      </c>
      <c r="E48" s="317" t="s">
        <v>1675</v>
      </c>
      <c r="F48" s="294">
        <v>104.1487</v>
      </c>
      <c r="G48" s="111" t="s">
        <v>8</v>
      </c>
      <c r="H48" s="111" t="s">
        <v>8</v>
      </c>
      <c r="I48" s="293" t="s">
        <v>8</v>
      </c>
      <c r="J48" s="318" t="s">
        <v>8</v>
      </c>
      <c r="K48" s="111"/>
      <c r="L48" s="111"/>
      <c r="M48" s="111"/>
      <c r="N48" s="111"/>
      <c r="O48" s="297"/>
      <c r="P48" s="111"/>
      <c r="Q48" s="111"/>
      <c r="R48" s="111"/>
      <c r="S48" s="111"/>
      <c r="T48" s="111"/>
      <c r="U48" s="111"/>
      <c r="V48" s="297"/>
      <c r="W48" s="111"/>
      <c r="X48" s="111"/>
      <c r="Y48" s="111"/>
      <c r="Z48" s="111"/>
      <c r="AA48" s="111"/>
      <c r="AB48" s="111"/>
      <c r="AC48" s="297"/>
      <c r="AD48" s="111"/>
      <c r="AE48" s="311"/>
    </row>
    <row r="49" spans="1:31" ht="12.75">
      <c r="A49" s="299" t="s">
        <v>428</v>
      </c>
      <c r="B49" s="300" t="s">
        <v>448</v>
      </c>
      <c r="C49" s="301">
        <v>39118</v>
      </c>
      <c r="D49" s="301">
        <v>38019</v>
      </c>
      <c r="E49" s="302">
        <v>99.9</v>
      </c>
      <c r="F49" s="303">
        <v>69.3871</v>
      </c>
      <c r="G49" s="109" t="s">
        <v>8</v>
      </c>
      <c r="H49" s="109" t="s">
        <v>8</v>
      </c>
      <c r="I49" s="302" t="s">
        <v>8</v>
      </c>
      <c r="J49" s="316" t="s">
        <v>8</v>
      </c>
      <c r="K49" s="109"/>
      <c r="L49" s="109"/>
      <c r="M49" s="109"/>
      <c r="N49" s="109"/>
      <c r="O49" s="305"/>
      <c r="P49" s="109"/>
      <c r="Q49" s="109"/>
      <c r="R49" s="109"/>
      <c r="S49" s="109"/>
      <c r="T49" s="109"/>
      <c r="U49" s="109"/>
      <c r="V49" s="305"/>
      <c r="W49" s="109"/>
      <c r="X49" s="109"/>
      <c r="Y49" s="109"/>
      <c r="Z49" s="109"/>
      <c r="AA49" s="109"/>
      <c r="AB49" s="109"/>
      <c r="AC49" s="305"/>
      <c r="AD49" s="109"/>
      <c r="AE49" s="319"/>
    </row>
    <row r="50" spans="1:31" ht="12.75">
      <c r="A50" s="299" t="s">
        <v>458</v>
      </c>
      <c r="B50" s="300" t="s">
        <v>459</v>
      </c>
      <c r="C50" s="301">
        <v>39207</v>
      </c>
      <c r="D50" s="301">
        <v>38111</v>
      </c>
      <c r="E50" s="302">
        <v>99.9</v>
      </c>
      <c r="F50" s="303">
        <v>107.0343</v>
      </c>
      <c r="G50" s="109" t="s">
        <v>8</v>
      </c>
      <c r="H50" s="109" t="s">
        <v>8</v>
      </c>
      <c r="I50" s="302" t="s">
        <v>8</v>
      </c>
      <c r="J50" s="316" t="s">
        <v>8</v>
      </c>
      <c r="K50" s="109"/>
      <c r="L50" s="109"/>
      <c r="M50" s="109"/>
      <c r="N50" s="109"/>
      <c r="O50" s="305"/>
      <c r="P50" s="109"/>
      <c r="Q50" s="109"/>
      <c r="R50" s="109"/>
      <c r="S50" s="109"/>
      <c r="T50" s="109"/>
      <c r="U50" s="109"/>
      <c r="V50" s="305"/>
      <c r="W50" s="109"/>
      <c r="X50" s="109"/>
      <c r="Y50" s="109"/>
      <c r="Z50" s="109"/>
      <c r="AA50" s="109"/>
      <c r="AB50" s="109"/>
      <c r="AC50" s="305"/>
      <c r="AD50" s="109"/>
      <c r="AE50" s="319"/>
    </row>
    <row r="51" spans="1:31" ht="12.75">
      <c r="A51" s="299" t="s">
        <v>476</v>
      </c>
      <c r="B51" s="300" t="s">
        <v>477</v>
      </c>
      <c r="C51" s="301">
        <v>39299</v>
      </c>
      <c r="D51" s="301">
        <v>38201</v>
      </c>
      <c r="E51" s="302">
        <v>99.9</v>
      </c>
      <c r="F51" s="303">
        <v>259.2855</v>
      </c>
      <c r="G51" s="109" t="s">
        <v>8</v>
      </c>
      <c r="H51" s="109" t="s">
        <v>8</v>
      </c>
      <c r="I51" s="302" t="s">
        <v>8</v>
      </c>
      <c r="J51" s="316" t="s">
        <v>8</v>
      </c>
      <c r="K51" s="109"/>
      <c r="L51" s="109"/>
      <c r="M51" s="109"/>
      <c r="N51" s="109"/>
      <c r="O51" s="305"/>
      <c r="P51" s="109"/>
      <c r="Q51" s="109"/>
      <c r="R51" s="109"/>
      <c r="S51" s="109"/>
      <c r="T51" s="109"/>
      <c r="U51" s="109"/>
      <c r="V51" s="305"/>
      <c r="W51" s="109"/>
      <c r="X51" s="109"/>
      <c r="Y51" s="109"/>
      <c r="Z51" s="109"/>
      <c r="AA51" s="109"/>
      <c r="AB51" s="109"/>
      <c r="AC51" s="305"/>
      <c r="AD51" s="109"/>
      <c r="AE51" s="319"/>
    </row>
    <row r="52" spans="1:31" s="24" customFormat="1" ht="12.75">
      <c r="A52" s="290" t="s">
        <v>495</v>
      </c>
      <c r="B52" s="291" t="s">
        <v>496</v>
      </c>
      <c r="C52" s="292">
        <v>39391</v>
      </c>
      <c r="D52" s="292">
        <v>38293</v>
      </c>
      <c r="E52" s="293">
        <v>99.9</v>
      </c>
      <c r="F52" s="294">
        <v>354.3759</v>
      </c>
      <c r="G52" s="111" t="s">
        <v>8</v>
      </c>
      <c r="H52" s="111" t="s">
        <v>8</v>
      </c>
      <c r="I52" s="293" t="s">
        <v>8</v>
      </c>
      <c r="J52" s="318" t="s">
        <v>8</v>
      </c>
      <c r="K52" s="111"/>
      <c r="L52" s="111"/>
      <c r="M52" s="111"/>
      <c r="N52" s="111"/>
      <c r="O52" s="297"/>
      <c r="P52" s="111"/>
      <c r="Q52" s="111"/>
      <c r="R52" s="111"/>
      <c r="S52" s="111"/>
      <c r="T52" s="111"/>
      <c r="U52" s="111"/>
      <c r="V52" s="297"/>
      <c r="W52" s="111"/>
      <c r="X52" s="111"/>
      <c r="Y52" s="111"/>
      <c r="Z52" s="111"/>
      <c r="AA52" s="111"/>
      <c r="AB52" s="111"/>
      <c r="AC52" s="297"/>
      <c r="AD52" s="111"/>
      <c r="AE52" s="320"/>
    </row>
    <row r="53" spans="1:31" ht="12.75">
      <c r="A53" s="299" t="s">
        <v>519</v>
      </c>
      <c r="B53" s="300" t="s">
        <v>534</v>
      </c>
      <c r="C53" s="301">
        <v>39483</v>
      </c>
      <c r="D53" s="301">
        <v>38384</v>
      </c>
      <c r="E53" s="321" t="s">
        <v>1674</v>
      </c>
      <c r="F53" s="303">
        <v>897.0289</v>
      </c>
      <c r="G53" s="109" t="s">
        <v>8</v>
      </c>
      <c r="H53" s="109" t="s">
        <v>8</v>
      </c>
      <c r="I53" s="302" t="s">
        <v>8</v>
      </c>
      <c r="J53" s="316" t="s">
        <v>8</v>
      </c>
      <c r="K53" s="109"/>
      <c r="L53" s="109"/>
      <c r="M53" s="109"/>
      <c r="N53" s="109"/>
      <c r="O53" s="305"/>
      <c r="P53" s="109"/>
      <c r="Q53" s="109"/>
      <c r="R53" s="109"/>
      <c r="S53" s="109"/>
      <c r="T53" s="109"/>
      <c r="U53" s="109"/>
      <c r="V53" s="305"/>
      <c r="W53" s="109"/>
      <c r="X53" s="109"/>
      <c r="Y53" s="109"/>
      <c r="Z53" s="109"/>
      <c r="AA53" s="109"/>
      <c r="AB53" s="109"/>
      <c r="AC53" s="305"/>
      <c r="AD53" s="109"/>
      <c r="AE53" s="319"/>
    </row>
    <row r="54" spans="1:31" ht="12.75">
      <c r="A54" s="299" t="s">
        <v>548</v>
      </c>
      <c r="B54" s="300" t="s">
        <v>638</v>
      </c>
      <c r="C54" s="301">
        <v>39573</v>
      </c>
      <c r="D54" s="301">
        <v>38474</v>
      </c>
      <c r="E54" s="321" t="s">
        <v>1676</v>
      </c>
      <c r="F54" s="303">
        <v>590.7614</v>
      </c>
      <c r="G54" s="109" t="s">
        <v>8</v>
      </c>
      <c r="H54" s="109" t="s">
        <v>8</v>
      </c>
      <c r="I54" s="302" t="s">
        <v>8</v>
      </c>
      <c r="J54" s="316" t="s">
        <v>8</v>
      </c>
      <c r="K54" s="109"/>
      <c r="L54" s="109"/>
      <c r="M54" s="109"/>
      <c r="N54" s="109"/>
      <c r="O54" s="305"/>
      <c r="P54" s="109"/>
      <c r="Q54" s="109"/>
      <c r="R54" s="109"/>
      <c r="S54" s="109"/>
      <c r="T54" s="109"/>
      <c r="U54" s="109"/>
      <c r="V54" s="305"/>
      <c r="W54" s="109"/>
      <c r="X54" s="109"/>
      <c r="Y54" s="109"/>
      <c r="Z54" s="109"/>
      <c r="AA54" s="109"/>
      <c r="AB54" s="109"/>
      <c r="AC54" s="305"/>
      <c r="AD54" s="109"/>
      <c r="AE54" s="319"/>
    </row>
    <row r="55" spans="1:31" ht="12.75">
      <c r="A55" s="299" t="s">
        <v>570</v>
      </c>
      <c r="B55" s="300" t="s">
        <v>571</v>
      </c>
      <c r="C55" s="301">
        <v>39665</v>
      </c>
      <c r="D55" s="301">
        <v>38565</v>
      </c>
      <c r="E55" s="302">
        <v>99.9</v>
      </c>
      <c r="F55" s="303">
        <v>181.8251</v>
      </c>
      <c r="G55" s="109" t="s">
        <v>8</v>
      </c>
      <c r="H55" s="109" t="s">
        <v>8</v>
      </c>
      <c r="I55" s="302" t="s">
        <v>8</v>
      </c>
      <c r="J55" s="316" t="s">
        <v>8</v>
      </c>
      <c r="K55" s="109"/>
      <c r="L55" s="109"/>
      <c r="M55" s="109"/>
      <c r="N55" s="109"/>
      <c r="O55" s="305"/>
      <c r="P55" s="109"/>
      <c r="Q55" s="109"/>
      <c r="R55" s="109"/>
      <c r="S55" s="109"/>
      <c r="T55" s="109"/>
      <c r="U55" s="109"/>
      <c r="V55" s="305"/>
      <c r="W55" s="109"/>
      <c r="X55" s="109"/>
      <c r="Y55" s="109"/>
      <c r="Z55" s="109"/>
      <c r="AA55" s="109"/>
      <c r="AB55" s="109"/>
      <c r="AC55" s="305"/>
      <c r="AD55" s="109"/>
      <c r="AE55" s="319"/>
    </row>
    <row r="56" spans="1:31" s="24" customFormat="1" ht="12.75">
      <c r="A56" s="290" t="s">
        <v>590</v>
      </c>
      <c r="B56" s="291" t="s">
        <v>589</v>
      </c>
      <c r="C56" s="292">
        <v>39757</v>
      </c>
      <c r="D56" s="292">
        <v>38658</v>
      </c>
      <c r="E56" s="293">
        <v>99.9</v>
      </c>
      <c r="F56" s="294">
        <v>116.1699</v>
      </c>
      <c r="G56" s="111" t="s">
        <v>8</v>
      </c>
      <c r="H56" s="111" t="s">
        <v>8</v>
      </c>
      <c r="I56" s="293" t="s">
        <v>8</v>
      </c>
      <c r="J56" s="318" t="s">
        <v>8</v>
      </c>
      <c r="K56" s="111"/>
      <c r="L56" s="111"/>
      <c r="M56" s="111"/>
      <c r="N56" s="111"/>
      <c r="O56" s="297"/>
      <c r="P56" s="111"/>
      <c r="Q56" s="111"/>
      <c r="R56" s="111"/>
      <c r="S56" s="111"/>
      <c r="T56" s="111"/>
      <c r="U56" s="111"/>
      <c r="V56" s="297"/>
      <c r="W56" s="111"/>
      <c r="X56" s="111"/>
      <c r="Y56" s="111"/>
      <c r="Z56" s="111"/>
      <c r="AA56" s="111"/>
      <c r="AB56" s="111"/>
      <c r="AC56" s="297"/>
      <c r="AD56" s="111"/>
      <c r="AE56" s="320"/>
    </row>
    <row r="57" spans="1:31" ht="12.75">
      <c r="A57" s="299" t="s">
        <v>611</v>
      </c>
      <c r="B57" s="300" t="s">
        <v>612</v>
      </c>
      <c r="C57" s="301">
        <v>39849</v>
      </c>
      <c r="D57" s="301">
        <v>38749</v>
      </c>
      <c r="E57" s="302">
        <v>99.9</v>
      </c>
      <c r="F57" s="303">
        <v>78.9478</v>
      </c>
      <c r="G57" s="109" t="s">
        <v>8</v>
      </c>
      <c r="H57" s="109" t="s">
        <v>8</v>
      </c>
      <c r="I57" s="302" t="s">
        <v>8</v>
      </c>
      <c r="J57" s="316" t="s">
        <v>8</v>
      </c>
      <c r="K57" s="109"/>
      <c r="L57" s="109"/>
      <c r="M57" s="109"/>
      <c r="N57" s="109"/>
      <c r="O57" s="305"/>
      <c r="P57" s="109"/>
      <c r="Q57" s="109"/>
      <c r="R57" s="109"/>
      <c r="S57" s="109"/>
      <c r="T57" s="109"/>
      <c r="U57" s="109"/>
      <c r="V57" s="305"/>
      <c r="W57" s="109"/>
      <c r="X57" s="109"/>
      <c r="Y57" s="109"/>
      <c r="Z57" s="109"/>
      <c r="AA57" s="109"/>
      <c r="AB57" s="109"/>
      <c r="AC57" s="305"/>
      <c r="AD57" s="109"/>
      <c r="AE57" s="319"/>
    </row>
    <row r="58" spans="1:31" ht="12.75">
      <c r="A58" s="299" t="s">
        <v>637</v>
      </c>
      <c r="B58" s="300" t="s">
        <v>636</v>
      </c>
      <c r="C58" s="301">
        <v>39938</v>
      </c>
      <c r="D58" s="301">
        <v>38839</v>
      </c>
      <c r="E58" s="302">
        <v>100</v>
      </c>
      <c r="F58" s="303">
        <v>42.8128</v>
      </c>
      <c r="G58" s="109" t="s">
        <v>8</v>
      </c>
      <c r="H58" s="109" t="s">
        <v>8</v>
      </c>
      <c r="I58" s="302" t="s">
        <v>8</v>
      </c>
      <c r="J58" s="316" t="s">
        <v>8</v>
      </c>
      <c r="K58" s="109"/>
      <c r="L58" s="109"/>
      <c r="M58" s="109"/>
      <c r="N58" s="109"/>
      <c r="O58" s="305"/>
      <c r="P58" s="109"/>
      <c r="Q58" s="109"/>
      <c r="R58" s="109"/>
      <c r="S58" s="109"/>
      <c r="T58" s="109"/>
      <c r="U58" s="109"/>
      <c r="V58" s="305"/>
      <c r="W58" s="109"/>
      <c r="X58" s="109"/>
      <c r="Y58" s="109"/>
      <c r="Z58" s="109"/>
      <c r="AA58" s="109"/>
      <c r="AB58" s="109"/>
      <c r="AC58" s="305"/>
      <c r="AD58" s="109"/>
      <c r="AE58" s="319"/>
    </row>
    <row r="59" spans="1:31" ht="12.75">
      <c r="A59" s="299" t="s">
        <v>654</v>
      </c>
      <c r="B59" s="300" t="s">
        <v>653</v>
      </c>
      <c r="C59" s="301">
        <v>40026</v>
      </c>
      <c r="D59" s="301">
        <v>38930</v>
      </c>
      <c r="E59" s="302">
        <v>100</v>
      </c>
      <c r="F59" s="303">
        <v>33.6818</v>
      </c>
      <c r="G59" s="109">
        <v>38915</v>
      </c>
      <c r="H59" s="109">
        <v>38923</v>
      </c>
      <c r="I59" s="302">
        <v>99.8</v>
      </c>
      <c r="J59" s="167">
        <v>34.3294</v>
      </c>
      <c r="K59" s="109"/>
      <c r="L59" s="109"/>
      <c r="M59" s="109"/>
      <c r="N59" s="109"/>
      <c r="O59" s="305"/>
      <c r="P59" s="109"/>
      <c r="Q59" s="109"/>
      <c r="R59" s="109"/>
      <c r="S59" s="109"/>
      <c r="T59" s="109"/>
      <c r="U59" s="109"/>
      <c r="V59" s="305"/>
      <c r="W59" s="109"/>
      <c r="X59" s="109"/>
      <c r="Y59" s="109"/>
      <c r="Z59" s="109"/>
      <c r="AA59" s="109"/>
      <c r="AB59" s="109"/>
      <c r="AC59" s="305"/>
      <c r="AD59" s="109"/>
      <c r="AE59" s="319"/>
    </row>
    <row r="60" spans="1:31" s="24" customFormat="1" ht="12.75">
      <c r="A60" s="290" t="s">
        <v>682</v>
      </c>
      <c r="B60" s="291" t="s">
        <v>681</v>
      </c>
      <c r="C60" s="292">
        <v>40119</v>
      </c>
      <c r="D60" s="292">
        <v>39023</v>
      </c>
      <c r="E60" s="293">
        <v>100</v>
      </c>
      <c r="F60" s="294">
        <v>31.4112</v>
      </c>
      <c r="G60" s="111">
        <v>39006</v>
      </c>
      <c r="H60" s="111">
        <v>39013</v>
      </c>
      <c r="I60" s="293">
        <v>99.8</v>
      </c>
      <c r="J60" s="171">
        <v>33.932</v>
      </c>
      <c r="K60" s="111"/>
      <c r="L60" s="111"/>
      <c r="M60" s="111"/>
      <c r="N60" s="111"/>
      <c r="O60" s="297"/>
      <c r="P60" s="111"/>
      <c r="Q60" s="111"/>
      <c r="R60" s="111"/>
      <c r="S60" s="111"/>
      <c r="T60" s="111"/>
      <c r="U60" s="111"/>
      <c r="V60" s="297"/>
      <c r="W60" s="111"/>
      <c r="X60" s="111"/>
      <c r="Y60" s="111"/>
      <c r="Z60" s="111"/>
      <c r="AA60" s="111"/>
      <c r="AB60" s="111"/>
      <c r="AC60" s="297"/>
      <c r="AD60" s="111"/>
      <c r="AE60" s="320"/>
    </row>
    <row r="61" spans="1:31" ht="12.75">
      <c r="A61" s="299" t="s">
        <v>697</v>
      </c>
      <c r="B61" s="300" t="s">
        <v>698</v>
      </c>
      <c r="C61" s="301">
        <v>40210</v>
      </c>
      <c r="D61" s="301">
        <v>39114</v>
      </c>
      <c r="E61" s="302">
        <v>100</v>
      </c>
      <c r="F61" s="303">
        <v>27.136</v>
      </c>
      <c r="G61" s="109">
        <v>39097</v>
      </c>
      <c r="H61" s="109">
        <v>39104</v>
      </c>
      <c r="I61" s="302">
        <v>99.9</v>
      </c>
      <c r="J61" s="167">
        <v>22.6593</v>
      </c>
      <c r="K61" s="109"/>
      <c r="L61" s="109"/>
      <c r="M61" s="109"/>
      <c r="N61" s="109"/>
      <c r="O61" s="305"/>
      <c r="P61" s="109"/>
      <c r="Q61" s="109"/>
      <c r="R61" s="109"/>
      <c r="S61" s="109"/>
      <c r="T61" s="109"/>
      <c r="U61" s="109"/>
      <c r="V61" s="305"/>
      <c r="W61" s="109"/>
      <c r="X61" s="109"/>
      <c r="Y61" s="109"/>
      <c r="Z61" s="109"/>
      <c r="AA61" s="109"/>
      <c r="AB61" s="109"/>
      <c r="AC61" s="305"/>
      <c r="AD61" s="109"/>
      <c r="AE61" s="319"/>
    </row>
    <row r="62" spans="1:31" ht="12.75">
      <c r="A62" s="299" t="s">
        <v>713</v>
      </c>
      <c r="B62" s="300" t="s">
        <v>714</v>
      </c>
      <c r="C62" s="301">
        <v>40300</v>
      </c>
      <c r="D62" s="301">
        <v>39204</v>
      </c>
      <c r="E62" s="302">
        <v>100</v>
      </c>
      <c r="F62" s="303">
        <v>24.9117</v>
      </c>
      <c r="G62" s="109">
        <v>39185</v>
      </c>
      <c r="H62" s="109">
        <v>39191</v>
      </c>
      <c r="I62" s="302">
        <v>99.9</v>
      </c>
      <c r="J62" s="167">
        <v>22.551</v>
      </c>
      <c r="K62" s="109"/>
      <c r="L62" s="109"/>
      <c r="M62" s="109"/>
      <c r="N62" s="109"/>
      <c r="O62" s="305"/>
      <c r="P62" s="109"/>
      <c r="Q62" s="109"/>
      <c r="R62" s="109"/>
      <c r="S62" s="109"/>
      <c r="T62" s="109"/>
      <c r="U62" s="109"/>
      <c r="V62" s="305"/>
      <c r="W62" s="109"/>
      <c r="X62" s="109"/>
      <c r="Y62" s="109"/>
      <c r="Z62" s="109"/>
      <c r="AA62" s="109"/>
      <c r="AB62" s="109"/>
      <c r="AC62" s="305"/>
      <c r="AD62" s="109"/>
      <c r="AE62" s="319"/>
    </row>
    <row r="63" spans="1:31" ht="12.75">
      <c r="A63" s="299" t="s">
        <v>735</v>
      </c>
      <c r="B63" s="300" t="s">
        <v>736</v>
      </c>
      <c r="C63" s="301">
        <v>40391</v>
      </c>
      <c r="D63" s="301">
        <v>39295</v>
      </c>
      <c r="E63" s="302">
        <v>100</v>
      </c>
      <c r="F63" s="303">
        <v>43.1036</v>
      </c>
      <c r="G63" s="109">
        <v>39279</v>
      </c>
      <c r="H63" s="109">
        <v>39286</v>
      </c>
      <c r="I63" s="302">
        <v>99.9</v>
      </c>
      <c r="J63" s="167">
        <v>49.113</v>
      </c>
      <c r="K63" s="109"/>
      <c r="L63" s="109"/>
      <c r="M63" s="109"/>
      <c r="N63" s="109"/>
      <c r="O63" s="305"/>
      <c r="P63" s="109"/>
      <c r="Q63" s="109"/>
      <c r="R63" s="109"/>
      <c r="S63" s="109"/>
      <c r="T63" s="109"/>
      <c r="U63" s="109"/>
      <c r="V63" s="305"/>
      <c r="W63" s="109"/>
      <c r="X63" s="109"/>
      <c r="Y63" s="109"/>
      <c r="Z63" s="109"/>
      <c r="AA63" s="109"/>
      <c r="AB63" s="109"/>
      <c r="AC63" s="305"/>
      <c r="AD63" s="109"/>
      <c r="AE63" s="319"/>
    </row>
    <row r="64" spans="1:31" s="24" customFormat="1" ht="12.75">
      <c r="A64" s="290" t="s">
        <v>755</v>
      </c>
      <c r="B64" s="291" t="s">
        <v>754</v>
      </c>
      <c r="C64" s="292">
        <v>40484</v>
      </c>
      <c r="D64" s="292">
        <v>39388</v>
      </c>
      <c r="E64" s="293">
        <v>100</v>
      </c>
      <c r="F64" s="294">
        <v>60.7837</v>
      </c>
      <c r="G64" s="111">
        <v>39370</v>
      </c>
      <c r="H64" s="111">
        <v>39374</v>
      </c>
      <c r="I64" s="293">
        <v>99.9</v>
      </c>
      <c r="J64" s="171">
        <v>70.6334</v>
      </c>
      <c r="K64" s="111"/>
      <c r="L64" s="111"/>
      <c r="M64" s="111"/>
      <c r="N64" s="111"/>
      <c r="O64" s="297"/>
      <c r="P64" s="111"/>
      <c r="Q64" s="111"/>
      <c r="R64" s="111"/>
      <c r="S64" s="111"/>
      <c r="T64" s="111"/>
      <c r="U64" s="111"/>
      <c r="V64" s="297"/>
      <c r="W64" s="111"/>
      <c r="X64" s="111"/>
      <c r="Y64" s="111"/>
      <c r="Z64" s="111"/>
      <c r="AA64" s="111"/>
      <c r="AB64" s="111"/>
      <c r="AC64" s="297"/>
      <c r="AD64" s="111"/>
      <c r="AE64" s="320"/>
    </row>
    <row r="65" spans="1:31" ht="12.75">
      <c r="A65" s="299" t="s">
        <v>773</v>
      </c>
      <c r="B65" s="300" t="s">
        <v>774</v>
      </c>
      <c r="C65" s="301">
        <v>40575</v>
      </c>
      <c r="D65" s="301">
        <v>39479</v>
      </c>
      <c r="E65" s="302">
        <v>100</v>
      </c>
      <c r="F65" s="303">
        <v>68.735</v>
      </c>
      <c r="G65" s="109">
        <v>39461</v>
      </c>
      <c r="H65" s="109">
        <v>39468</v>
      </c>
      <c r="I65" s="302">
        <v>99.8</v>
      </c>
      <c r="J65" s="167">
        <v>84.604</v>
      </c>
      <c r="K65" s="109"/>
      <c r="L65" s="109"/>
      <c r="M65" s="109"/>
      <c r="N65" s="109"/>
      <c r="O65" s="305"/>
      <c r="P65" s="109"/>
      <c r="Q65" s="109"/>
      <c r="R65" s="109"/>
      <c r="S65" s="109"/>
      <c r="T65" s="109"/>
      <c r="U65" s="109"/>
      <c r="V65" s="305"/>
      <c r="W65" s="109"/>
      <c r="X65" s="109"/>
      <c r="Y65" s="109"/>
      <c r="Z65" s="109"/>
      <c r="AA65" s="109"/>
      <c r="AB65" s="109"/>
      <c r="AC65" s="305"/>
      <c r="AD65" s="109"/>
      <c r="AE65" s="319"/>
    </row>
    <row r="66" spans="1:31" ht="12.75">
      <c r="A66" s="299" t="s">
        <v>795</v>
      </c>
      <c r="B66" s="300" t="s">
        <v>796</v>
      </c>
      <c r="C66" s="301">
        <v>40665</v>
      </c>
      <c r="D66" s="301">
        <v>39570</v>
      </c>
      <c r="E66" s="302">
        <v>99.9</v>
      </c>
      <c r="F66" s="303">
        <v>79.79270000000001</v>
      </c>
      <c r="G66" s="109">
        <v>39552</v>
      </c>
      <c r="H66" s="109">
        <v>39556</v>
      </c>
      <c r="I66" s="302">
        <v>99.8</v>
      </c>
      <c r="J66" s="167">
        <v>56.4634</v>
      </c>
      <c r="K66" s="109"/>
      <c r="L66" s="109"/>
      <c r="M66" s="109"/>
      <c r="N66" s="109"/>
      <c r="O66" s="305"/>
      <c r="P66" s="109"/>
      <c r="Q66" s="109"/>
      <c r="R66" s="109"/>
      <c r="S66" s="109"/>
      <c r="T66" s="109"/>
      <c r="U66" s="109"/>
      <c r="V66" s="305"/>
      <c r="W66" s="109"/>
      <c r="X66" s="109"/>
      <c r="Y66" s="109"/>
      <c r="Z66" s="109"/>
      <c r="AA66" s="109"/>
      <c r="AB66" s="109"/>
      <c r="AC66" s="305"/>
      <c r="AD66" s="109"/>
      <c r="AE66" s="319"/>
    </row>
    <row r="67" spans="1:31" ht="12.75">
      <c r="A67" s="299" t="s">
        <v>817</v>
      </c>
      <c r="B67" s="300" t="s">
        <v>816</v>
      </c>
      <c r="C67" s="301">
        <v>40756</v>
      </c>
      <c r="D67" s="301">
        <v>39661</v>
      </c>
      <c r="E67" s="302">
        <v>99.9</v>
      </c>
      <c r="F67" s="303">
        <v>247.1893</v>
      </c>
      <c r="G67" s="109">
        <v>39643</v>
      </c>
      <c r="H67" s="109">
        <v>39651</v>
      </c>
      <c r="I67" s="302">
        <v>99.8</v>
      </c>
      <c r="J67" s="167">
        <v>49.8525</v>
      </c>
      <c r="K67" s="109"/>
      <c r="L67" s="109"/>
      <c r="M67" s="109"/>
      <c r="N67" s="109"/>
      <c r="O67" s="305"/>
      <c r="P67" s="109"/>
      <c r="Q67" s="109"/>
      <c r="R67" s="109"/>
      <c r="S67" s="109"/>
      <c r="T67" s="109"/>
      <c r="U67" s="109"/>
      <c r="V67" s="305"/>
      <c r="W67" s="109"/>
      <c r="X67" s="109"/>
      <c r="Y67" s="109"/>
      <c r="Z67" s="109"/>
      <c r="AA67" s="109"/>
      <c r="AB67" s="109"/>
      <c r="AC67" s="305"/>
      <c r="AD67" s="109"/>
      <c r="AE67" s="319"/>
    </row>
    <row r="68" spans="1:31" s="24" customFormat="1" ht="12.75">
      <c r="A68" s="290" t="s">
        <v>836</v>
      </c>
      <c r="B68" s="291" t="s">
        <v>837</v>
      </c>
      <c r="C68" s="292">
        <v>40849</v>
      </c>
      <c r="D68" s="292">
        <v>39754</v>
      </c>
      <c r="E68" s="293">
        <v>100</v>
      </c>
      <c r="F68" s="294">
        <v>109.2628</v>
      </c>
      <c r="G68" s="111">
        <v>39734</v>
      </c>
      <c r="H68" s="111">
        <v>39743</v>
      </c>
      <c r="I68" s="293">
        <v>99.9</v>
      </c>
      <c r="J68" s="171">
        <v>50.5712</v>
      </c>
      <c r="K68" s="111"/>
      <c r="L68" s="111"/>
      <c r="M68" s="111"/>
      <c r="N68" s="111"/>
      <c r="O68" s="297"/>
      <c r="P68" s="111"/>
      <c r="Q68" s="111"/>
      <c r="R68" s="111"/>
      <c r="S68" s="111"/>
      <c r="T68" s="111"/>
      <c r="U68" s="111"/>
      <c r="V68" s="297"/>
      <c r="W68" s="111"/>
      <c r="X68" s="111"/>
      <c r="Y68" s="111"/>
      <c r="Z68" s="111"/>
      <c r="AA68" s="111"/>
      <c r="AB68" s="111"/>
      <c r="AC68" s="297"/>
      <c r="AD68" s="111"/>
      <c r="AE68" s="320"/>
    </row>
    <row r="69" spans="1:31" ht="12.75">
      <c r="A69" s="299" t="s">
        <v>856</v>
      </c>
      <c r="B69" s="300" t="s">
        <v>857</v>
      </c>
      <c r="C69" s="301">
        <v>40940</v>
      </c>
      <c r="D69" s="301">
        <v>39845</v>
      </c>
      <c r="E69" s="302">
        <v>99.9</v>
      </c>
      <c r="F69" s="303">
        <v>31.1901</v>
      </c>
      <c r="G69" s="109">
        <v>39826</v>
      </c>
      <c r="H69" s="109">
        <v>39835</v>
      </c>
      <c r="I69" s="302">
        <v>99.8</v>
      </c>
      <c r="J69" s="167">
        <v>34.0153</v>
      </c>
      <c r="K69" s="109"/>
      <c r="L69" s="109"/>
      <c r="M69" s="109"/>
      <c r="N69" s="109"/>
      <c r="O69" s="305"/>
      <c r="P69" s="109"/>
      <c r="Q69" s="109"/>
      <c r="R69" s="109"/>
      <c r="S69" s="109"/>
      <c r="T69" s="109"/>
      <c r="U69" s="109"/>
      <c r="V69" s="305"/>
      <c r="W69" s="109"/>
      <c r="X69" s="109"/>
      <c r="Y69" s="109"/>
      <c r="Z69" s="109"/>
      <c r="AA69" s="109"/>
      <c r="AB69" s="109"/>
      <c r="AC69" s="305"/>
      <c r="AD69" s="109"/>
      <c r="AE69" s="319"/>
    </row>
    <row r="70" spans="1:31" ht="12.75">
      <c r="A70" s="299" t="s">
        <v>871</v>
      </c>
      <c r="B70" s="300" t="s">
        <v>872</v>
      </c>
      <c r="C70" s="301">
        <v>41031</v>
      </c>
      <c r="D70" s="301">
        <v>39935</v>
      </c>
      <c r="E70" s="302">
        <v>99.9</v>
      </c>
      <c r="F70" s="303">
        <v>13.4524</v>
      </c>
      <c r="G70" s="109">
        <v>39917</v>
      </c>
      <c r="H70" s="109">
        <v>39923</v>
      </c>
      <c r="I70" s="302">
        <v>99.8</v>
      </c>
      <c r="J70" s="167">
        <v>21.0465</v>
      </c>
      <c r="K70" s="109"/>
      <c r="L70" s="109"/>
      <c r="M70" s="109"/>
      <c r="N70" s="109"/>
      <c r="O70" s="305"/>
      <c r="P70" s="109"/>
      <c r="Q70" s="109"/>
      <c r="R70" s="109"/>
      <c r="S70" s="109"/>
      <c r="T70" s="109"/>
      <c r="U70" s="109"/>
      <c r="V70" s="305"/>
      <c r="W70" s="109"/>
      <c r="X70" s="109"/>
      <c r="Y70" s="109"/>
      <c r="Z70" s="109"/>
      <c r="AA70" s="109"/>
      <c r="AB70" s="109"/>
      <c r="AC70" s="305"/>
      <c r="AD70" s="109"/>
      <c r="AE70" s="319"/>
    </row>
    <row r="71" spans="1:31" ht="12.75">
      <c r="A71" s="299" t="s">
        <v>894</v>
      </c>
      <c r="B71" s="300" t="s">
        <v>893</v>
      </c>
      <c r="C71" s="301">
        <v>41122</v>
      </c>
      <c r="D71" s="301">
        <v>40026</v>
      </c>
      <c r="E71" s="302">
        <v>99.9</v>
      </c>
      <c r="F71" s="303">
        <v>10.1533</v>
      </c>
      <c r="G71" s="109">
        <v>40007</v>
      </c>
      <c r="H71" s="109">
        <v>40014</v>
      </c>
      <c r="I71" s="302">
        <v>99.8</v>
      </c>
      <c r="J71" s="167">
        <v>24.4638</v>
      </c>
      <c r="K71" s="109"/>
      <c r="L71" s="109"/>
      <c r="M71" s="109"/>
      <c r="N71" s="109"/>
      <c r="O71" s="305"/>
      <c r="P71" s="109"/>
      <c r="Q71" s="109"/>
      <c r="R71" s="109"/>
      <c r="S71" s="109"/>
      <c r="T71" s="109"/>
      <c r="U71" s="109"/>
      <c r="V71" s="305"/>
      <c r="W71" s="109"/>
      <c r="X71" s="109"/>
      <c r="Y71" s="109"/>
      <c r="Z71" s="109"/>
      <c r="AA71" s="109"/>
      <c r="AB71" s="109"/>
      <c r="AC71" s="305"/>
      <c r="AD71" s="109"/>
      <c r="AE71" s="319"/>
    </row>
    <row r="72" spans="1:31" s="24" customFormat="1" ht="12.75">
      <c r="A72" s="290" t="s">
        <v>913</v>
      </c>
      <c r="B72" s="291" t="s">
        <v>914</v>
      </c>
      <c r="C72" s="292">
        <v>41215</v>
      </c>
      <c r="D72" s="292">
        <v>40119</v>
      </c>
      <c r="E72" s="293">
        <v>99.9</v>
      </c>
      <c r="F72" s="294">
        <v>9.3199</v>
      </c>
      <c r="G72" s="111">
        <v>40098</v>
      </c>
      <c r="H72" s="111">
        <v>40105</v>
      </c>
      <c r="I72" s="293">
        <v>99.8</v>
      </c>
      <c r="J72" s="171">
        <v>24.9276</v>
      </c>
      <c r="K72" s="111"/>
      <c r="L72" s="111"/>
      <c r="M72" s="111"/>
      <c r="N72" s="111"/>
      <c r="O72" s="297"/>
      <c r="P72" s="111"/>
      <c r="Q72" s="111"/>
      <c r="R72" s="111"/>
      <c r="S72" s="111"/>
      <c r="T72" s="111"/>
      <c r="U72" s="111"/>
      <c r="V72" s="297"/>
      <c r="W72" s="111"/>
      <c r="X72" s="111"/>
      <c r="Y72" s="111"/>
      <c r="Z72" s="111"/>
      <c r="AA72" s="111"/>
      <c r="AB72" s="111"/>
      <c r="AC72" s="297"/>
      <c r="AD72" s="111"/>
      <c r="AE72" s="320"/>
    </row>
    <row r="73" spans="1:31" ht="12.75">
      <c r="A73" s="299" t="s">
        <v>927</v>
      </c>
      <c r="B73" s="300" t="s">
        <v>928</v>
      </c>
      <c r="C73" s="301">
        <v>41306</v>
      </c>
      <c r="D73" s="301">
        <v>40210</v>
      </c>
      <c r="E73" s="302">
        <v>99.9</v>
      </c>
      <c r="F73" s="303">
        <v>5.5724</v>
      </c>
      <c r="G73" s="109">
        <v>40189</v>
      </c>
      <c r="H73" s="109">
        <v>40196</v>
      </c>
      <c r="I73" s="302">
        <v>99.8</v>
      </c>
      <c r="J73" s="167">
        <v>21.1198</v>
      </c>
      <c r="K73" s="109"/>
      <c r="L73" s="109"/>
      <c r="M73" s="109"/>
      <c r="N73" s="109"/>
      <c r="O73" s="305"/>
      <c r="P73" s="109"/>
      <c r="Q73" s="109"/>
      <c r="R73" s="109"/>
      <c r="S73" s="109"/>
      <c r="T73" s="109"/>
      <c r="U73" s="109"/>
      <c r="V73" s="305"/>
      <c r="W73" s="109"/>
      <c r="X73" s="109"/>
      <c r="Y73" s="109"/>
      <c r="Z73" s="109"/>
      <c r="AA73" s="109"/>
      <c r="AB73" s="109"/>
      <c r="AC73" s="305"/>
      <c r="AD73" s="109"/>
      <c r="AE73" s="319"/>
    </row>
    <row r="74" spans="1:31" ht="12.75">
      <c r="A74" s="299" t="s">
        <v>941</v>
      </c>
      <c r="B74" s="300" t="s">
        <v>952</v>
      </c>
      <c r="C74" s="301">
        <v>41396</v>
      </c>
      <c r="D74" s="301">
        <v>40300</v>
      </c>
      <c r="E74" s="302">
        <v>99.9</v>
      </c>
      <c r="F74" s="303">
        <v>6.560300000000002</v>
      </c>
      <c r="G74" s="109">
        <v>40280</v>
      </c>
      <c r="H74" s="109">
        <v>40287</v>
      </c>
      <c r="I74" s="302">
        <v>99.8</v>
      </c>
      <c r="J74" s="167">
        <v>17.0119</v>
      </c>
      <c r="K74" s="109"/>
      <c r="L74" s="109"/>
      <c r="M74" s="109"/>
      <c r="N74" s="109"/>
      <c r="O74" s="305"/>
      <c r="P74" s="109"/>
      <c r="Q74" s="109"/>
      <c r="R74" s="109"/>
      <c r="S74" s="109"/>
      <c r="T74" s="109"/>
      <c r="U74" s="109"/>
      <c r="V74" s="305"/>
      <c r="W74" s="109"/>
      <c r="X74" s="109"/>
      <c r="Y74" s="109"/>
      <c r="Z74" s="109"/>
      <c r="AA74" s="109"/>
      <c r="AB74" s="109"/>
      <c r="AC74" s="305"/>
      <c r="AD74" s="109"/>
      <c r="AE74" s="319"/>
    </row>
    <row r="75" spans="1:31" ht="12.75">
      <c r="A75" s="299" t="s">
        <v>968</v>
      </c>
      <c r="B75" s="300" t="s">
        <v>967</v>
      </c>
      <c r="C75" s="301">
        <v>41487</v>
      </c>
      <c r="D75" s="301">
        <v>40391</v>
      </c>
      <c r="E75" s="302">
        <v>99.9</v>
      </c>
      <c r="F75" s="303">
        <v>7.945599999999999</v>
      </c>
      <c r="G75" s="109">
        <v>40371</v>
      </c>
      <c r="H75" s="109">
        <v>40378</v>
      </c>
      <c r="I75" s="302">
        <v>99.8</v>
      </c>
      <c r="J75" s="167">
        <v>30.9202</v>
      </c>
      <c r="K75" s="109"/>
      <c r="L75" s="109"/>
      <c r="M75" s="109"/>
      <c r="N75" s="109"/>
      <c r="O75" s="305"/>
      <c r="P75" s="109"/>
      <c r="Q75" s="109"/>
      <c r="R75" s="109"/>
      <c r="S75" s="109"/>
      <c r="T75" s="109"/>
      <c r="U75" s="109"/>
      <c r="V75" s="305"/>
      <c r="W75" s="109"/>
      <c r="X75" s="109"/>
      <c r="Y75" s="109"/>
      <c r="Z75" s="109"/>
      <c r="AA75" s="109"/>
      <c r="AB75" s="109"/>
      <c r="AC75" s="305"/>
      <c r="AD75" s="109"/>
      <c r="AE75" s="319"/>
    </row>
    <row r="76" spans="1:31" s="24" customFormat="1" ht="12.75">
      <c r="A76" s="290" t="s">
        <v>988</v>
      </c>
      <c r="B76" s="291" t="s">
        <v>987</v>
      </c>
      <c r="C76" s="292">
        <v>41580</v>
      </c>
      <c r="D76" s="292">
        <v>40484</v>
      </c>
      <c r="E76" s="293">
        <v>99.9</v>
      </c>
      <c r="F76" s="294">
        <v>8.717799999999997</v>
      </c>
      <c r="G76" s="111">
        <v>40462</v>
      </c>
      <c r="H76" s="111">
        <v>40469</v>
      </c>
      <c r="I76" s="293">
        <v>99.8</v>
      </c>
      <c r="J76" s="171">
        <v>36.2755</v>
      </c>
      <c r="K76" s="111"/>
      <c r="L76" s="111"/>
      <c r="M76" s="111"/>
      <c r="N76" s="111"/>
      <c r="O76" s="297"/>
      <c r="P76" s="111"/>
      <c r="Q76" s="111"/>
      <c r="R76" s="111"/>
      <c r="S76" s="111"/>
      <c r="T76" s="111"/>
      <c r="U76" s="111"/>
      <c r="V76" s="297"/>
      <c r="W76" s="111"/>
      <c r="X76" s="111"/>
      <c r="Y76" s="111"/>
      <c r="Z76" s="111"/>
      <c r="AA76" s="111"/>
      <c r="AB76" s="111"/>
      <c r="AC76" s="297"/>
      <c r="AD76" s="111"/>
      <c r="AE76" s="320"/>
    </row>
    <row r="77" spans="1:31" ht="12.75">
      <c r="A77" s="299" t="s">
        <v>1004</v>
      </c>
      <c r="B77" s="300" t="s">
        <v>1003</v>
      </c>
      <c r="C77" s="301">
        <v>41671</v>
      </c>
      <c r="D77" s="301">
        <v>40575</v>
      </c>
      <c r="E77" s="302">
        <v>99.9</v>
      </c>
      <c r="F77" s="303">
        <v>10.7937</v>
      </c>
      <c r="G77" s="109">
        <v>40553</v>
      </c>
      <c r="H77" s="109">
        <v>40560</v>
      </c>
      <c r="I77" s="302">
        <v>99.8</v>
      </c>
      <c r="J77" s="167">
        <v>47.3087</v>
      </c>
      <c r="K77" s="109"/>
      <c r="L77" s="109"/>
      <c r="M77" s="109"/>
      <c r="N77" s="109"/>
      <c r="O77" s="305"/>
      <c r="P77" s="109"/>
      <c r="Q77" s="109"/>
      <c r="R77" s="109"/>
      <c r="S77" s="109"/>
      <c r="T77" s="109"/>
      <c r="U77" s="109"/>
      <c r="V77" s="305"/>
      <c r="W77" s="109"/>
      <c r="X77" s="109"/>
      <c r="Y77" s="109"/>
      <c r="Z77" s="109"/>
      <c r="AA77" s="109"/>
      <c r="AB77" s="109"/>
      <c r="AC77" s="305"/>
      <c r="AD77" s="109"/>
      <c r="AE77" s="319"/>
    </row>
    <row r="78" spans="1:31" ht="12.75">
      <c r="A78" s="299" t="s">
        <v>1030</v>
      </c>
      <c r="B78" s="300" t="s">
        <v>1043</v>
      </c>
      <c r="C78" s="301">
        <v>41761</v>
      </c>
      <c r="D78" s="301">
        <v>40665</v>
      </c>
      <c r="E78" s="302">
        <v>99.9</v>
      </c>
      <c r="F78" s="303">
        <v>15.683099999999994</v>
      </c>
      <c r="G78" s="109">
        <v>40644</v>
      </c>
      <c r="H78" s="109">
        <v>40648</v>
      </c>
      <c r="I78" s="302">
        <v>99.8</v>
      </c>
      <c r="J78" s="167">
        <v>41.8126</v>
      </c>
      <c r="K78" s="109"/>
      <c r="L78" s="109"/>
      <c r="M78" s="109"/>
      <c r="N78" s="109"/>
      <c r="O78" s="305"/>
      <c r="P78" s="109"/>
      <c r="Q78" s="109"/>
      <c r="R78" s="109"/>
      <c r="S78" s="109"/>
      <c r="T78" s="109"/>
      <c r="U78" s="109"/>
      <c r="V78" s="305"/>
      <c r="W78" s="109"/>
      <c r="X78" s="109"/>
      <c r="Y78" s="109"/>
      <c r="Z78" s="109"/>
      <c r="AA78" s="109"/>
      <c r="AB78" s="109"/>
      <c r="AC78" s="305"/>
      <c r="AD78" s="109"/>
      <c r="AE78" s="319"/>
    </row>
    <row r="79" spans="1:31" ht="12.75">
      <c r="A79" s="299" t="s">
        <v>1049</v>
      </c>
      <c r="B79" s="300" t="s">
        <v>1050</v>
      </c>
      <c r="C79" s="301">
        <v>41852</v>
      </c>
      <c r="D79" s="301">
        <v>40756</v>
      </c>
      <c r="E79" s="302">
        <v>99.9</v>
      </c>
      <c r="F79" s="303">
        <v>28.01009999999999</v>
      </c>
      <c r="G79" s="109">
        <v>40735</v>
      </c>
      <c r="H79" s="109">
        <v>40377</v>
      </c>
      <c r="I79" s="302">
        <v>99.8</v>
      </c>
      <c r="J79" s="167">
        <v>69.3511</v>
      </c>
      <c r="K79" s="109"/>
      <c r="L79" s="109"/>
      <c r="M79" s="109"/>
      <c r="N79" s="109"/>
      <c r="O79" s="305"/>
      <c r="P79" s="109"/>
      <c r="Q79" s="109"/>
      <c r="R79" s="109"/>
      <c r="S79" s="109"/>
      <c r="T79" s="109"/>
      <c r="U79" s="109"/>
      <c r="V79" s="305"/>
      <c r="W79" s="109"/>
      <c r="X79" s="109"/>
      <c r="Y79" s="109"/>
      <c r="Z79" s="109"/>
      <c r="AA79" s="109"/>
      <c r="AB79" s="109"/>
      <c r="AC79" s="305"/>
      <c r="AD79" s="109"/>
      <c r="AE79" s="319"/>
    </row>
    <row r="80" spans="1:31" s="24" customFormat="1" ht="12.75">
      <c r="A80" s="290" t="s">
        <v>1071</v>
      </c>
      <c r="B80" s="291" t="s">
        <v>1072</v>
      </c>
      <c r="C80" s="292">
        <v>41945</v>
      </c>
      <c r="D80" s="292">
        <v>40849</v>
      </c>
      <c r="E80" s="293">
        <v>99.9</v>
      </c>
      <c r="F80" s="294">
        <v>26.29569999999999</v>
      </c>
      <c r="G80" s="111">
        <v>40826</v>
      </c>
      <c r="H80" s="111">
        <v>40469</v>
      </c>
      <c r="I80" s="293">
        <v>99.8</v>
      </c>
      <c r="J80" s="171">
        <v>50.5998</v>
      </c>
      <c r="K80" s="111"/>
      <c r="L80" s="111"/>
      <c r="M80" s="111"/>
      <c r="N80" s="111"/>
      <c r="O80" s="297"/>
      <c r="P80" s="111"/>
      <c r="Q80" s="111"/>
      <c r="R80" s="111"/>
      <c r="S80" s="111"/>
      <c r="T80" s="111"/>
      <c r="U80" s="111"/>
      <c r="V80" s="297"/>
      <c r="W80" s="111"/>
      <c r="X80" s="111"/>
      <c r="Y80" s="111"/>
      <c r="Z80" s="111"/>
      <c r="AA80" s="111"/>
      <c r="AB80" s="111"/>
      <c r="AC80" s="297"/>
      <c r="AD80" s="111"/>
      <c r="AE80" s="320"/>
    </row>
    <row r="81" spans="1:31" ht="12.75">
      <c r="A81" s="322" t="s">
        <v>1086</v>
      </c>
      <c r="B81" s="323" t="s">
        <v>1087</v>
      </c>
      <c r="C81" s="324">
        <v>42036</v>
      </c>
      <c r="D81" s="324">
        <v>40940</v>
      </c>
      <c r="E81" s="325">
        <v>99.9</v>
      </c>
      <c r="F81" s="326">
        <v>41.63549999999999</v>
      </c>
      <c r="G81" s="81">
        <v>40917</v>
      </c>
      <c r="H81" s="81">
        <v>40926</v>
      </c>
      <c r="I81" s="325">
        <v>99.8</v>
      </c>
      <c r="J81" s="327">
        <v>29.0069</v>
      </c>
      <c r="K81" s="82"/>
      <c r="L81" s="328"/>
      <c r="M81" s="328"/>
      <c r="N81" s="328"/>
      <c r="O81" s="328"/>
      <c r="P81" s="328"/>
      <c r="Q81" s="328"/>
      <c r="R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  <c r="AE81" s="329"/>
    </row>
  </sheetData>
  <sheetProtection/>
  <mergeCells count="5">
    <mergeCell ref="D1:F1"/>
    <mergeCell ref="G1:J1"/>
    <mergeCell ref="A1:A2"/>
    <mergeCell ref="B1:B2"/>
    <mergeCell ref="C1:C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8"/>
  <dimension ref="A1:IR26"/>
  <sheetViews>
    <sheetView zoomScale="115" zoomScaleNormal="11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1" sqref="I1"/>
    </sheetView>
  </sheetViews>
  <sheetFormatPr defaultColWidth="0" defaultRowHeight="12.75"/>
  <cols>
    <col min="1" max="1" width="8.875" style="13" bestFit="1" customWidth="1"/>
    <col min="2" max="2" width="18.375" style="13" customWidth="1"/>
    <col min="3" max="3" width="15.875" style="13" customWidth="1"/>
    <col min="4" max="4" width="17.625" style="13" bestFit="1" customWidth="1"/>
    <col min="5" max="5" width="11.875" style="13" bestFit="1" customWidth="1"/>
    <col min="6" max="6" width="23.375" style="13" bestFit="1" customWidth="1"/>
    <col min="7" max="7" width="20.625" style="13" bestFit="1" customWidth="1"/>
    <col min="8" max="8" width="21.125" style="13" bestFit="1" customWidth="1"/>
    <col min="9" max="9" width="18.125" style="18" customWidth="1"/>
    <col min="10" max="10" width="19.125" style="13" customWidth="1"/>
    <col min="11" max="11" width="12.625" style="18" customWidth="1"/>
    <col min="12" max="16384" width="9.375" style="0" hidden="1" customWidth="1"/>
  </cols>
  <sheetData>
    <row r="1" spans="1:252" s="16" customFormat="1" ht="26.25" thickBot="1">
      <c r="A1" s="218" t="str">
        <f>Seria</f>
        <v>Seria</v>
      </c>
      <c r="B1" s="218" t="str">
        <f>ISIN</f>
        <v>Kod ISIN</v>
      </c>
      <c r="C1" s="240" t="str">
        <f>Wykup</f>
        <v>Data wykupu</v>
      </c>
      <c r="D1" s="108" t="str">
        <f>PoczatekSprzedazy</f>
        <v>Początek sprzedaży</v>
      </c>
      <c r="E1" s="108" t="str">
        <f>KoniecSprzedazy</f>
        <v>Koniec sprzedaży</v>
      </c>
      <c r="F1" s="330" t="str">
        <f>CenaEmisyjna1</f>
        <v>Cena emisyjna w I okresie</v>
      </c>
      <c r="G1" s="330" t="str">
        <f>CenaEmisyjna2</f>
        <v>Cena emisyjna w II okresie</v>
      </c>
      <c r="H1" s="330" t="str">
        <f>CenaEmisyjna3</f>
        <v>Cena emisyjna w III okresie</v>
      </c>
      <c r="I1" s="108" t="str">
        <f>Sprzedaz&amp;" (mln zł)"</f>
        <v>Sprzedaż łączna (mln zł)</v>
      </c>
      <c r="J1" s="108" t="str">
        <f>Oprocentowanie</f>
        <v>Oprocentowanie</v>
      </c>
      <c r="K1" s="108" t="str">
        <f>Odsetki&amp;" (zł)"</f>
        <v>Odsetki (zł)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</row>
    <row r="2" spans="1:252" s="6" customFormat="1" ht="12.75">
      <c r="A2" s="331" t="s">
        <v>306</v>
      </c>
      <c r="B2" s="332" t="s">
        <v>307</v>
      </c>
      <c r="C2" s="333">
        <v>39054</v>
      </c>
      <c r="D2" s="333">
        <v>37228</v>
      </c>
      <c r="E2" s="333">
        <v>37315</v>
      </c>
      <c r="F2" s="334">
        <v>96</v>
      </c>
      <c r="G2" s="334">
        <v>97.5</v>
      </c>
      <c r="H2" s="334" t="s">
        <v>8</v>
      </c>
      <c r="I2" s="335">
        <v>500</v>
      </c>
      <c r="J2" s="336">
        <v>0.09</v>
      </c>
      <c r="K2" s="337">
        <v>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</row>
    <row r="3" spans="1:252" s="6" customFormat="1" ht="12.75">
      <c r="A3" s="113" t="s">
        <v>322</v>
      </c>
      <c r="B3" s="114" t="s">
        <v>323</v>
      </c>
      <c r="C3" s="115">
        <v>39142</v>
      </c>
      <c r="D3" s="115">
        <v>37316</v>
      </c>
      <c r="E3" s="115">
        <v>37407</v>
      </c>
      <c r="F3" s="116">
        <v>96.5</v>
      </c>
      <c r="G3" s="116">
        <v>96.5</v>
      </c>
      <c r="H3" s="116" t="s">
        <v>8</v>
      </c>
      <c r="I3" s="338">
        <v>187.4889</v>
      </c>
      <c r="J3" s="249">
        <v>0.08</v>
      </c>
      <c r="K3" s="128">
        <v>8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6" customFormat="1" ht="12.75">
      <c r="A4" s="85" t="s">
        <v>340</v>
      </c>
      <c r="B4" s="86" t="s">
        <v>341</v>
      </c>
      <c r="C4" s="109">
        <v>39236</v>
      </c>
      <c r="D4" s="109">
        <v>37410</v>
      </c>
      <c r="E4" s="109">
        <v>37498</v>
      </c>
      <c r="F4" s="110">
        <v>97</v>
      </c>
      <c r="G4" s="110">
        <v>100</v>
      </c>
      <c r="H4" s="110">
        <v>100.5</v>
      </c>
      <c r="I4" s="254">
        <v>498.6319</v>
      </c>
      <c r="J4" s="255">
        <v>0.08</v>
      </c>
      <c r="K4" s="122">
        <v>8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6" customFormat="1" ht="12.75">
      <c r="A5" s="85" t="s">
        <v>360</v>
      </c>
      <c r="B5" s="86" t="s">
        <v>361</v>
      </c>
      <c r="C5" s="109">
        <v>39327</v>
      </c>
      <c r="D5" s="109">
        <v>37501</v>
      </c>
      <c r="E5" s="109">
        <v>37589</v>
      </c>
      <c r="F5" s="110">
        <v>97</v>
      </c>
      <c r="G5" s="110">
        <v>98.5</v>
      </c>
      <c r="H5" s="110">
        <v>101</v>
      </c>
      <c r="I5" s="254">
        <v>500</v>
      </c>
      <c r="J5" s="255">
        <v>0.065</v>
      </c>
      <c r="K5" s="122">
        <v>6.5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6" customFormat="1" ht="12.75">
      <c r="A6" s="90" t="s">
        <v>372</v>
      </c>
      <c r="B6" s="91" t="s">
        <v>373</v>
      </c>
      <c r="C6" s="111">
        <v>39418</v>
      </c>
      <c r="D6" s="111">
        <v>37592</v>
      </c>
      <c r="E6" s="111">
        <v>37680</v>
      </c>
      <c r="F6" s="112">
        <v>99.5</v>
      </c>
      <c r="G6" s="112">
        <v>100</v>
      </c>
      <c r="H6" s="112">
        <v>100.5</v>
      </c>
      <c r="I6" s="252">
        <v>144.9787</v>
      </c>
      <c r="J6" s="246">
        <v>0.055</v>
      </c>
      <c r="K6" s="124">
        <v>5.5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252" s="6" customFormat="1" ht="12.75">
      <c r="A7" s="113" t="s">
        <v>388</v>
      </c>
      <c r="B7" s="114" t="s">
        <v>389</v>
      </c>
      <c r="C7" s="115">
        <v>39510</v>
      </c>
      <c r="D7" s="115">
        <v>37683</v>
      </c>
      <c r="E7" s="115">
        <v>37771</v>
      </c>
      <c r="F7" s="116">
        <v>98.5</v>
      </c>
      <c r="G7" s="116">
        <v>98.5</v>
      </c>
      <c r="H7" s="116">
        <v>99.5</v>
      </c>
      <c r="I7" s="338">
        <v>150</v>
      </c>
      <c r="J7" s="249">
        <v>0.05</v>
      </c>
      <c r="K7" s="128">
        <v>5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</row>
    <row r="8" spans="1:252" s="6" customFormat="1" ht="12.75">
      <c r="A8" s="85" t="s">
        <v>400</v>
      </c>
      <c r="B8" s="86" t="s">
        <v>422</v>
      </c>
      <c r="C8" s="109">
        <v>39601</v>
      </c>
      <c r="D8" s="109">
        <v>37774</v>
      </c>
      <c r="E8" s="109">
        <v>37827</v>
      </c>
      <c r="F8" s="110">
        <v>99</v>
      </c>
      <c r="G8" s="110">
        <v>99</v>
      </c>
      <c r="H8" s="110" t="s">
        <v>8</v>
      </c>
      <c r="I8" s="254">
        <v>34.7002</v>
      </c>
      <c r="J8" s="255">
        <v>0.045</v>
      </c>
      <c r="K8" s="122">
        <v>4.5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</row>
    <row r="9" spans="1:252" s="6" customFormat="1" ht="12.75">
      <c r="A9" s="85" t="s">
        <v>406</v>
      </c>
      <c r="B9" s="86" t="s">
        <v>423</v>
      </c>
      <c r="C9" s="109">
        <v>39692</v>
      </c>
      <c r="D9" s="109">
        <v>37865</v>
      </c>
      <c r="E9" s="109">
        <v>37954</v>
      </c>
      <c r="F9" s="110">
        <v>97.25</v>
      </c>
      <c r="G9" s="110">
        <v>96</v>
      </c>
      <c r="H9" s="110">
        <v>95</v>
      </c>
      <c r="I9" s="254">
        <v>20.4318</v>
      </c>
      <c r="J9" s="255">
        <v>0.045</v>
      </c>
      <c r="K9" s="122">
        <v>4.5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</row>
    <row r="10" spans="1:252" s="6" customFormat="1" ht="12.75">
      <c r="A10" s="90" t="s">
        <v>411</v>
      </c>
      <c r="B10" s="91" t="s">
        <v>453</v>
      </c>
      <c r="C10" s="111">
        <v>39783</v>
      </c>
      <c r="D10" s="111">
        <v>37956</v>
      </c>
      <c r="E10" s="111">
        <v>38045</v>
      </c>
      <c r="F10" s="112">
        <v>99.9</v>
      </c>
      <c r="G10" s="112">
        <v>99.9</v>
      </c>
      <c r="H10" s="112">
        <v>99.9</v>
      </c>
      <c r="I10" s="252">
        <v>89.0736</v>
      </c>
      <c r="J10" s="246">
        <v>0.065</v>
      </c>
      <c r="K10" s="124">
        <v>6.5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</row>
    <row r="11" spans="1:252" s="6" customFormat="1" ht="12.75">
      <c r="A11" s="113" t="s">
        <v>432</v>
      </c>
      <c r="B11" s="114" t="s">
        <v>454</v>
      </c>
      <c r="C11" s="115">
        <v>39873</v>
      </c>
      <c r="D11" s="115">
        <v>38047</v>
      </c>
      <c r="E11" s="115">
        <v>38138</v>
      </c>
      <c r="F11" s="116">
        <v>99.9</v>
      </c>
      <c r="G11" s="116" t="s">
        <v>462</v>
      </c>
      <c r="H11" s="116">
        <v>98.4</v>
      </c>
      <c r="I11" s="338">
        <v>44.7636</v>
      </c>
      <c r="J11" s="249">
        <v>0.065</v>
      </c>
      <c r="K11" s="128">
        <v>6.5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</row>
    <row r="12" spans="1:252" s="6" customFormat="1" ht="12.75">
      <c r="A12" s="85" t="s">
        <v>472</v>
      </c>
      <c r="B12" s="86" t="s">
        <v>473</v>
      </c>
      <c r="C12" s="109">
        <v>39965</v>
      </c>
      <c r="D12" s="109">
        <v>38139</v>
      </c>
      <c r="E12" s="109">
        <v>38230</v>
      </c>
      <c r="F12" s="110">
        <v>98.9</v>
      </c>
      <c r="G12" s="110">
        <v>98.9</v>
      </c>
      <c r="H12" s="110">
        <v>98.9</v>
      </c>
      <c r="I12" s="254">
        <v>43.8701</v>
      </c>
      <c r="J12" s="255">
        <v>0.07</v>
      </c>
      <c r="K12" s="122">
        <v>7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</row>
    <row r="13" spans="1:252" s="6" customFormat="1" ht="12.75">
      <c r="A13" s="85" t="s">
        <v>483</v>
      </c>
      <c r="B13" s="86" t="s">
        <v>484</v>
      </c>
      <c r="C13" s="109">
        <v>40057</v>
      </c>
      <c r="D13" s="109">
        <v>38231</v>
      </c>
      <c r="E13" s="109">
        <v>38321</v>
      </c>
      <c r="F13" s="110" t="s">
        <v>492</v>
      </c>
      <c r="G13" s="110">
        <v>101.2</v>
      </c>
      <c r="H13" s="110" t="s">
        <v>509</v>
      </c>
      <c r="I13" s="254">
        <v>116.5062</v>
      </c>
      <c r="J13" s="255">
        <v>0.073</v>
      </c>
      <c r="K13" s="122">
        <v>7.3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</row>
    <row r="14" spans="1:252" s="6" customFormat="1" ht="12.75">
      <c r="A14" s="90" t="s">
        <v>505</v>
      </c>
      <c r="B14" s="91" t="s">
        <v>506</v>
      </c>
      <c r="C14" s="111">
        <v>40148</v>
      </c>
      <c r="D14" s="111">
        <v>38322</v>
      </c>
      <c r="E14" s="111">
        <v>38411</v>
      </c>
      <c r="F14" s="112" t="s">
        <v>514</v>
      </c>
      <c r="G14" s="112">
        <v>101.9</v>
      </c>
      <c r="H14" s="112" t="s">
        <v>529</v>
      </c>
      <c r="I14" s="252">
        <v>281.9477</v>
      </c>
      <c r="J14" s="246">
        <v>0.065</v>
      </c>
      <c r="K14" s="124">
        <v>6.5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</row>
    <row r="15" spans="1:252" s="6" customFormat="1" ht="12.75">
      <c r="A15" s="113" t="s">
        <v>526</v>
      </c>
      <c r="B15" s="114" t="s">
        <v>527</v>
      </c>
      <c r="C15" s="115">
        <v>40238</v>
      </c>
      <c r="D15" s="115">
        <v>38412</v>
      </c>
      <c r="E15" s="115">
        <v>38503</v>
      </c>
      <c r="F15" s="116" t="s">
        <v>528</v>
      </c>
      <c r="G15" s="116">
        <v>101.2</v>
      </c>
      <c r="H15" s="116">
        <v>101.2</v>
      </c>
      <c r="I15" s="338">
        <v>37.1858</v>
      </c>
      <c r="J15" s="249">
        <v>0.055</v>
      </c>
      <c r="K15" s="128">
        <v>5.5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</row>
    <row r="16" spans="1:252" s="6" customFormat="1" ht="12.75">
      <c r="A16" s="85" t="s">
        <v>555</v>
      </c>
      <c r="B16" s="86" t="s">
        <v>556</v>
      </c>
      <c r="C16" s="109">
        <v>40330</v>
      </c>
      <c r="D16" s="109">
        <v>38504</v>
      </c>
      <c r="E16" s="109">
        <v>38595</v>
      </c>
      <c r="F16" s="110" t="s">
        <v>554</v>
      </c>
      <c r="G16" s="110">
        <v>102.5</v>
      </c>
      <c r="H16" s="110">
        <v>102.5</v>
      </c>
      <c r="I16" s="254">
        <v>515.2398</v>
      </c>
      <c r="J16" s="255">
        <v>0.05</v>
      </c>
      <c r="K16" s="122">
        <v>5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</row>
    <row r="17" spans="1:252" s="6" customFormat="1" ht="12.75">
      <c r="A17" s="85" t="s">
        <v>575</v>
      </c>
      <c r="B17" s="86" t="s">
        <v>576</v>
      </c>
      <c r="C17" s="109">
        <v>40422</v>
      </c>
      <c r="D17" s="109">
        <v>38596</v>
      </c>
      <c r="E17" s="109">
        <v>38686</v>
      </c>
      <c r="F17" s="110" t="s">
        <v>586</v>
      </c>
      <c r="G17" s="110">
        <v>100.9</v>
      </c>
      <c r="H17" s="110">
        <v>94.7</v>
      </c>
      <c r="I17" s="254">
        <v>21.0185</v>
      </c>
      <c r="J17" s="255">
        <v>0.044</v>
      </c>
      <c r="K17" s="122">
        <v>4.4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</row>
    <row r="18" spans="1:252" s="6" customFormat="1" ht="12.75">
      <c r="A18" s="90" t="s">
        <v>599</v>
      </c>
      <c r="B18" s="91" t="s">
        <v>600</v>
      </c>
      <c r="C18" s="111">
        <v>40513</v>
      </c>
      <c r="D18" s="111">
        <v>38687</v>
      </c>
      <c r="E18" s="111">
        <v>38411</v>
      </c>
      <c r="F18" s="112">
        <v>98.9</v>
      </c>
      <c r="G18" s="112">
        <v>99.9</v>
      </c>
      <c r="H18" s="112" t="s">
        <v>621</v>
      </c>
      <c r="I18" s="252">
        <v>50.1927</v>
      </c>
      <c r="J18" s="246">
        <v>0.045</v>
      </c>
      <c r="K18" s="124">
        <v>4.5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</row>
    <row r="19" spans="1:252" s="6" customFormat="1" ht="12.75">
      <c r="A19" s="339"/>
      <c r="B19" s="339"/>
      <c r="C19" s="340"/>
      <c r="D19" s="340"/>
      <c r="E19" s="340"/>
      <c r="F19" s="341"/>
      <c r="G19" s="341"/>
      <c r="H19" s="341"/>
      <c r="I19" s="342"/>
      <c r="J19" s="343"/>
      <c r="K19" s="342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</row>
    <row r="20" spans="1:11" s="7" customFormat="1" ht="12.75">
      <c r="A20" s="13"/>
      <c r="B20" s="13"/>
      <c r="C20" s="13"/>
      <c r="D20" s="13"/>
      <c r="E20" s="13"/>
      <c r="F20" s="13"/>
      <c r="G20" s="13"/>
      <c r="H20" s="13"/>
      <c r="I20" s="18"/>
      <c r="J20" s="13"/>
      <c r="K20" s="18"/>
    </row>
    <row r="21" spans="1:11" s="7" customFormat="1" ht="12.75">
      <c r="A21" s="13"/>
      <c r="B21" s="13"/>
      <c r="C21" s="13"/>
      <c r="D21" s="13"/>
      <c r="E21" s="13"/>
      <c r="F21" s="13"/>
      <c r="G21" s="13"/>
      <c r="H21" s="13"/>
      <c r="I21" s="18"/>
      <c r="J21" s="13"/>
      <c r="K21" s="18"/>
    </row>
    <row r="22" spans="1:11" s="7" customFormat="1" ht="12.75">
      <c r="A22" s="13"/>
      <c r="B22" s="13"/>
      <c r="C22" s="13"/>
      <c r="D22" s="13"/>
      <c r="E22" s="13"/>
      <c r="F22" s="13"/>
      <c r="G22" s="13"/>
      <c r="H22" s="13"/>
      <c r="I22" s="18"/>
      <c r="J22" s="13"/>
      <c r="K22" s="18"/>
    </row>
    <row r="23" spans="1:11" s="7" customFormat="1" ht="12.75">
      <c r="A23" s="13"/>
      <c r="B23" s="13"/>
      <c r="C23" s="13"/>
      <c r="D23" s="13"/>
      <c r="E23" s="13"/>
      <c r="F23" s="13"/>
      <c r="G23" s="13"/>
      <c r="H23" s="13"/>
      <c r="I23" s="18"/>
      <c r="J23" s="13"/>
      <c r="K23" s="18"/>
    </row>
    <row r="24" spans="1:11" s="7" customFormat="1" ht="12.75">
      <c r="A24" s="13"/>
      <c r="B24" s="13"/>
      <c r="C24" s="13"/>
      <c r="D24" s="13"/>
      <c r="E24" s="13"/>
      <c r="F24" s="13"/>
      <c r="G24" s="13"/>
      <c r="H24" s="13"/>
      <c r="I24" s="18"/>
      <c r="J24" s="13"/>
      <c r="K24" s="18"/>
    </row>
    <row r="25" spans="1:11" s="7" customFormat="1" ht="12.75">
      <c r="A25" s="13"/>
      <c r="B25" s="13"/>
      <c r="C25" s="13"/>
      <c r="D25" s="13"/>
      <c r="E25" s="13"/>
      <c r="F25" s="13"/>
      <c r="G25" s="13"/>
      <c r="H25" s="13"/>
      <c r="I25" s="18"/>
      <c r="J25" s="13"/>
      <c r="K25" s="18"/>
    </row>
    <row r="26" spans="1:11" s="7" customFormat="1" ht="12.75">
      <c r="A26" s="13"/>
      <c r="B26" s="13"/>
      <c r="C26" s="13"/>
      <c r="D26" s="13"/>
      <c r="E26" s="13"/>
      <c r="F26" s="13"/>
      <c r="G26" s="13"/>
      <c r="H26" s="13"/>
      <c r="I26" s="18"/>
      <c r="J26" s="13"/>
      <c r="K26" s="18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7"/>
  <dimension ref="A1:F75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23.875" style="1" bestFit="1" customWidth="1"/>
    <col min="2" max="3" width="33.125" style="1" bestFit="1" customWidth="1"/>
    <col min="4" max="16384" width="9.375" style="1" customWidth="1"/>
  </cols>
  <sheetData>
    <row r="1" ht="18">
      <c r="A1" s="14" t="s">
        <v>99</v>
      </c>
    </row>
    <row r="2" spans="1:2" ht="12.75">
      <c r="A2" s="8" t="s">
        <v>99</v>
      </c>
      <c r="B2" s="8" t="s">
        <v>100</v>
      </c>
    </row>
    <row r="3" spans="1:3" ht="12.75">
      <c r="A3" s="1" t="s">
        <v>0</v>
      </c>
      <c r="B3" s="1" t="s">
        <v>101</v>
      </c>
      <c r="C3" s="1" t="str">
        <f>IF(Wybor="PL",A3,B3)</f>
        <v>Seria</v>
      </c>
    </row>
    <row r="4" spans="1:3" ht="12.75">
      <c r="A4" s="1" t="s">
        <v>1</v>
      </c>
      <c r="B4" s="1" t="s">
        <v>102</v>
      </c>
      <c r="C4" s="1" t="str">
        <f aca="true" t="shared" si="0" ref="C4:C68">IF(Wybor="PL",A4,B4)</f>
        <v>Data wykupu</v>
      </c>
    </row>
    <row r="5" spans="1:3" ht="12.75">
      <c r="A5" s="1" t="s">
        <v>103</v>
      </c>
      <c r="B5" s="1" t="s">
        <v>104</v>
      </c>
      <c r="C5" s="1" t="str">
        <f t="shared" si="0"/>
        <v>Przetarg</v>
      </c>
    </row>
    <row r="6" spans="1:3" ht="12.75">
      <c r="A6" s="1" t="s">
        <v>3</v>
      </c>
      <c r="B6" s="1" t="s">
        <v>105</v>
      </c>
      <c r="C6" s="1" t="str">
        <f t="shared" si="0"/>
        <v>Data przetargu</v>
      </c>
    </row>
    <row r="7" spans="1:3" ht="12.75">
      <c r="A7" s="1" t="s">
        <v>4</v>
      </c>
      <c r="B7" s="1" t="s">
        <v>106</v>
      </c>
      <c r="C7" s="1" t="str">
        <f t="shared" si="0"/>
        <v>Data zapłaty</v>
      </c>
    </row>
    <row r="8" spans="1:3" ht="12.75">
      <c r="A8" s="1" t="s">
        <v>5</v>
      </c>
      <c r="B8" s="1" t="s">
        <v>107</v>
      </c>
      <c r="C8" s="1" t="str">
        <f t="shared" si="0"/>
        <v>Cena min.</v>
      </c>
    </row>
    <row r="9" spans="1:3" ht="12.75">
      <c r="A9" s="1" t="s">
        <v>6</v>
      </c>
      <c r="B9" s="1" t="s">
        <v>108</v>
      </c>
      <c r="C9" s="1" t="str">
        <f t="shared" si="0"/>
        <v>Cena śr.</v>
      </c>
    </row>
    <row r="10" spans="1:3" ht="12.75">
      <c r="A10" s="1" t="s">
        <v>12</v>
      </c>
      <c r="B10" s="1" t="s">
        <v>110</v>
      </c>
      <c r="C10" s="1" t="str">
        <f t="shared" si="0"/>
        <v>Cena emisyjna</v>
      </c>
    </row>
    <row r="11" spans="1:3" ht="12.75">
      <c r="A11" s="1" t="s">
        <v>49</v>
      </c>
      <c r="B11" s="1" t="s">
        <v>111</v>
      </c>
      <c r="C11" s="1" t="str">
        <f t="shared" si="0"/>
        <v>Cena subskrypcyjna</v>
      </c>
    </row>
    <row r="12" spans="1:3" ht="12.75">
      <c r="A12" s="1" t="s">
        <v>119</v>
      </c>
      <c r="B12" s="1" t="s">
        <v>120</v>
      </c>
      <c r="C12" s="1" t="str">
        <f t="shared" si="0"/>
        <v>Podaż</v>
      </c>
    </row>
    <row r="13" spans="1:3" ht="12.75">
      <c r="A13" s="1" t="s">
        <v>7</v>
      </c>
      <c r="B13" s="1" t="s">
        <v>109</v>
      </c>
      <c r="C13" s="1" t="str">
        <f t="shared" si="0"/>
        <v>Popyt</v>
      </c>
    </row>
    <row r="14" spans="1:3" ht="12.75">
      <c r="A14" s="1" t="s">
        <v>1247</v>
      </c>
      <c r="B14" s="1" t="s">
        <v>1248</v>
      </c>
      <c r="C14" s="1" t="str">
        <f t="shared" si="0"/>
        <v>Sprzedaż łączna</v>
      </c>
    </row>
    <row r="15" spans="1:3" ht="12.75">
      <c r="A15" s="1" t="s">
        <v>33</v>
      </c>
      <c r="B15" s="1" t="s">
        <v>211</v>
      </c>
      <c r="C15" s="1" t="str">
        <f t="shared" si="0"/>
        <v>Początek sprzedaży</v>
      </c>
    </row>
    <row r="16" spans="1:3" ht="12.75">
      <c r="A16" s="1" t="s">
        <v>38</v>
      </c>
      <c r="B16" s="1" t="s">
        <v>212</v>
      </c>
      <c r="C16" s="1" t="str">
        <f t="shared" si="0"/>
        <v>Koniec sprzedaży</v>
      </c>
    </row>
    <row r="17" spans="1:3" ht="12.75">
      <c r="A17" s="1" t="s">
        <v>88</v>
      </c>
      <c r="B17" s="1" t="s">
        <v>114</v>
      </c>
      <c r="C17" s="1" t="str">
        <f t="shared" si="0"/>
        <v>Początek</v>
      </c>
    </row>
    <row r="18" spans="1:3" ht="12.75">
      <c r="A18" s="1" t="s">
        <v>89</v>
      </c>
      <c r="B18" s="1" t="s">
        <v>113</v>
      </c>
      <c r="C18" s="1" t="str">
        <f t="shared" si="0"/>
        <v>Koniec</v>
      </c>
    </row>
    <row r="19" spans="1:3" ht="12.75">
      <c r="A19" s="1" t="s">
        <v>1687</v>
      </c>
      <c r="B19" s="1" t="s">
        <v>115</v>
      </c>
      <c r="C19" s="1" t="str">
        <f t="shared" si="0"/>
        <v>subskrypcji</v>
      </c>
    </row>
    <row r="20" spans="1:3" ht="12.75">
      <c r="A20" s="1" t="s">
        <v>2</v>
      </c>
      <c r="B20" s="1" t="s">
        <v>112</v>
      </c>
      <c r="C20" s="1" t="str">
        <f t="shared" si="0"/>
        <v>Oprocentowanie</v>
      </c>
    </row>
    <row r="21" spans="1:3" ht="12.75">
      <c r="A21" s="1" t="s">
        <v>11</v>
      </c>
      <c r="B21" s="30" t="s">
        <v>1631</v>
      </c>
      <c r="C21" s="1" t="str">
        <f t="shared" si="0"/>
        <v>Odsetki</v>
      </c>
    </row>
    <row r="22" spans="1:3" ht="12.75">
      <c r="A22" s="30" t="s">
        <v>1686</v>
      </c>
      <c r="B22" s="30" t="s">
        <v>1615</v>
      </c>
      <c r="C22" s="1" t="str">
        <f t="shared" si="0"/>
        <v>Marża</v>
      </c>
    </row>
    <row r="23" spans="1:3" ht="12.75">
      <c r="A23" s="30" t="s">
        <v>1654</v>
      </c>
      <c r="B23" s="30" t="s">
        <v>1615</v>
      </c>
      <c r="C23" s="1" t="str">
        <f t="shared" si="0"/>
        <v>Mnożnik</v>
      </c>
    </row>
    <row r="24" spans="1:3" ht="12.75">
      <c r="A24" s="30" t="s">
        <v>98</v>
      </c>
      <c r="B24" s="30" t="s">
        <v>1614</v>
      </c>
      <c r="C24" s="1" t="str">
        <f t="shared" si="0"/>
        <v>Subskrypcja/zamiana</v>
      </c>
    </row>
    <row r="25" spans="1:3" ht="12.75">
      <c r="A25" s="1" t="s">
        <v>10</v>
      </c>
      <c r="B25" s="1" t="s">
        <v>117</v>
      </c>
      <c r="C25" s="1" t="str">
        <f t="shared" si="0"/>
        <v>Subskrypcja</v>
      </c>
    </row>
    <row r="26" spans="1:3" ht="12.75">
      <c r="A26" s="1" t="s">
        <v>9</v>
      </c>
      <c r="B26" s="1" t="s">
        <v>116</v>
      </c>
      <c r="C26" s="1" t="str">
        <f t="shared" si="0"/>
        <v>Sprzedaż w sieci</v>
      </c>
    </row>
    <row r="27" spans="1:3" ht="12.75">
      <c r="A27" s="30" t="s">
        <v>1563</v>
      </c>
      <c r="B27" s="1" t="s">
        <v>118</v>
      </c>
      <c r="C27" s="1" t="str">
        <f t="shared" si="0"/>
        <v> lat/a od dnia zakupu</v>
      </c>
    </row>
    <row r="28" spans="1:3" ht="12.75">
      <c r="A28" s="30" t="s">
        <v>2608</v>
      </c>
      <c r="B28" s="30" t="s">
        <v>2609</v>
      </c>
      <c r="C28" s="1" t="str">
        <f t="shared" si="0"/>
        <v> rok od dnia zakupu</v>
      </c>
    </row>
    <row r="29" spans="1:3" ht="12.75">
      <c r="A29" s="30" t="s">
        <v>1618</v>
      </c>
      <c r="B29" s="30" t="s">
        <v>1619</v>
      </c>
      <c r="C29" s="1" t="str">
        <f t="shared" si="0"/>
        <v> miesięcy od dnia zakupu</v>
      </c>
    </row>
    <row r="30" spans="1:3" ht="12.75">
      <c r="A30" s="30" t="s">
        <v>1750</v>
      </c>
      <c r="B30" s="30" t="s">
        <v>1619</v>
      </c>
      <c r="C30" s="1" t="str">
        <f t="shared" si="0"/>
        <v> miesiące od dnia zakupu</v>
      </c>
    </row>
    <row r="31" spans="1:3" ht="14.25">
      <c r="A31" s="30" t="s">
        <v>2554</v>
      </c>
      <c r="B31" s="30" t="s">
        <v>1644</v>
      </c>
      <c r="C31" s="1" t="str">
        <f t="shared" si="0"/>
        <v> w 1. roku</v>
      </c>
    </row>
    <row r="32" spans="1:3" ht="14.25">
      <c r="A32" s="30" t="s">
        <v>2555</v>
      </c>
      <c r="B32" s="30" t="s">
        <v>1620</v>
      </c>
      <c r="C32" s="1" t="str">
        <f t="shared" si="0"/>
        <v> w 2. roku</v>
      </c>
    </row>
    <row r="33" spans="1:3" ht="14.25">
      <c r="A33" s="30" t="s">
        <v>2556</v>
      </c>
      <c r="B33" s="30" t="s">
        <v>1621</v>
      </c>
      <c r="C33" s="1" t="str">
        <f aca="true" t="shared" si="1" ref="C33:C43">IF(Wybor="PL",A33,B33)</f>
        <v> w 3. roku</v>
      </c>
    </row>
    <row r="34" spans="1:6" ht="14.25">
      <c r="A34" s="30" t="s">
        <v>2557</v>
      </c>
      <c r="B34" s="30" t="s">
        <v>1622</v>
      </c>
      <c r="C34" s="1" t="str">
        <f t="shared" si="1"/>
        <v> w 4. roku</v>
      </c>
      <c r="E34" s="30"/>
      <c r="F34" s="30"/>
    </row>
    <row r="35" spans="1:6" ht="14.25">
      <c r="A35" s="30" t="s">
        <v>2558</v>
      </c>
      <c r="B35" s="30" t="s">
        <v>1629</v>
      </c>
      <c r="C35" s="1" t="str">
        <f t="shared" si="1"/>
        <v> w 5. roku</v>
      </c>
      <c r="E35" s="30"/>
      <c r="F35" s="30"/>
    </row>
    <row r="36" spans="1:4" ht="14.25">
      <c r="A36" s="30" t="s">
        <v>2559</v>
      </c>
      <c r="B36" s="30" t="s">
        <v>1623</v>
      </c>
      <c r="C36" s="1" t="str">
        <f t="shared" si="1"/>
        <v> w 6. roku</v>
      </c>
      <c r="D36" s="30"/>
    </row>
    <row r="37" spans="1:3" ht="14.25">
      <c r="A37" s="30" t="s">
        <v>2560</v>
      </c>
      <c r="B37" s="30" t="s">
        <v>1630</v>
      </c>
      <c r="C37" s="1" t="str">
        <f t="shared" si="1"/>
        <v> w 7. roku</v>
      </c>
    </row>
    <row r="38" spans="1:3" ht="14.25">
      <c r="A38" s="30" t="s">
        <v>2561</v>
      </c>
      <c r="B38" s="30" t="s">
        <v>1624</v>
      </c>
      <c r="C38" s="1" t="str">
        <f t="shared" si="1"/>
        <v> w 8. roku</v>
      </c>
    </row>
    <row r="39" spans="1:3" ht="14.25">
      <c r="A39" s="30" t="s">
        <v>2562</v>
      </c>
      <c r="B39" s="30" t="s">
        <v>1628</v>
      </c>
      <c r="C39" s="1" t="str">
        <f t="shared" si="1"/>
        <v> w 9. roku</v>
      </c>
    </row>
    <row r="40" spans="1:3" ht="14.25">
      <c r="A40" s="30" t="s">
        <v>2563</v>
      </c>
      <c r="B40" s="30" t="s">
        <v>1627</v>
      </c>
      <c r="C40" s="1" t="str">
        <f t="shared" si="1"/>
        <v> w 10. roku</v>
      </c>
    </row>
    <row r="41" spans="1:3" ht="14.25">
      <c r="A41" s="30" t="s">
        <v>2564</v>
      </c>
      <c r="B41" s="30" t="s">
        <v>1625</v>
      </c>
      <c r="C41" s="1" t="str">
        <f t="shared" si="1"/>
        <v> w 11. roku</v>
      </c>
    </row>
    <row r="42" spans="1:3" ht="14.25">
      <c r="A42" s="30" t="s">
        <v>2565</v>
      </c>
      <c r="B42" s="30" t="s">
        <v>1626</v>
      </c>
      <c r="C42" s="1" t="str">
        <f t="shared" si="1"/>
        <v> w 12. roku</v>
      </c>
    </row>
    <row r="43" spans="1:3" ht="12.75">
      <c r="A43" s="30" t="s">
        <v>1617</v>
      </c>
      <c r="B43" s="30" t="s">
        <v>1616</v>
      </c>
      <c r="C43" s="1" t="str">
        <f t="shared" si="1"/>
        <v> w kolejnych latach</v>
      </c>
    </row>
    <row r="44" spans="1:3" ht="12.75">
      <c r="A44" s="1" t="s">
        <v>125</v>
      </c>
      <c r="B44" s="1" t="s">
        <v>126</v>
      </c>
      <c r="C44" s="1" t="str">
        <f t="shared" si="0"/>
        <v>Kod ISIN</v>
      </c>
    </row>
    <row r="45" spans="1:3" ht="12.75">
      <c r="A45" s="1" t="s">
        <v>308</v>
      </c>
      <c r="B45" s="1" t="s">
        <v>303</v>
      </c>
      <c r="C45" s="1" t="str">
        <f t="shared" si="0"/>
        <v>Cena emisyjna w I okresie</v>
      </c>
    </row>
    <row r="46" spans="1:3" ht="12.75">
      <c r="A46" s="1" t="s">
        <v>309</v>
      </c>
      <c r="B46" s="1" t="s">
        <v>304</v>
      </c>
      <c r="C46" s="1" t="str">
        <f t="shared" si="0"/>
        <v>Cena emisyjna w II okresie</v>
      </c>
    </row>
    <row r="47" spans="1:3" ht="12.75">
      <c r="A47" s="1" t="s">
        <v>310</v>
      </c>
      <c r="B47" s="1" t="s">
        <v>305</v>
      </c>
      <c r="C47" s="1" t="str">
        <f t="shared" si="0"/>
        <v>Cena emisyjna w III okresie</v>
      </c>
    </row>
    <row r="48" spans="1:3" ht="12.75">
      <c r="A48" s="1" t="s">
        <v>1245</v>
      </c>
      <c r="B48" s="1" t="s">
        <v>118</v>
      </c>
      <c r="C48" s="1" t="str">
        <f t="shared" si="0"/>
        <v> lat od dnia zakupu</v>
      </c>
    </row>
    <row r="49" spans="1:3" ht="12.75">
      <c r="A49" s="1" t="s">
        <v>731</v>
      </c>
      <c r="B49" s="1" t="s">
        <v>1246</v>
      </c>
      <c r="C49" s="1" t="str">
        <f t="shared" si="0"/>
        <v>w tym zamiana</v>
      </c>
    </row>
    <row r="50" spans="1:3" ht="12.75">
      <c r="A50" s="1" t="s">
        <v>732</v>
      </c>
      <c r="B50" s="1" t="s">
        <v>1249</v>
      </c>
      <c r="C50" s="1" t="str">
        <f t="shared" si="0"/>
        <v>Cena zamiany</v>
      </c>
    </row>
    <row r="51" spans="1:3" ht="12.75">
      <c r="A51" s="30" t="s">
        <v>1632</v>
      </c>
      <c r="C51" s="30" t="s">
        <v>1632</v>
      </c>
    </row>
    <row r="52" spans="1:3" ht="14.25">
      <c r="A52" s="30" t="s">
        <v>2566</v>
      </c>
      <c r="B52" s="30" t="s">
        <v>1645</v>
      </c>
      <c r="C52" s="1" t="str">
        <f t="shared" si="0"/>
        <v>w 1. okresie</v>
      </c>
    </row>
    <row r="53" spans="1:3" ht="14.25">
      <c r="A53" s="30" t="s">
        <v>2567</v>
      </c>
      <c r="B53" s="30" t="s">
        <v>1641</v>
      </c>
      <c r="C53" s="1" t="str">
        <f t="shared" si="0"/>
        <v>w 2. okresie</v>
      </c>
    </row>
    <row r="54" spans="1:3" ht="14.25">
      <c r="A54" s="30" t="s">
        <v>2568</v>
      </c>
      <c r="B54" s="30" t="s">
        <v>1642</v>
      </c>
      <c r="C54" s="1" t="str">
        <f t="shared" si="0"/>
        <v>w 3. okresie</v>
      </c>
    </row>
    <row r="55" spans="1:3" ht="14.25">
      <c r="A55" s="30" t="s">
        <v>2569</v>
      </c>
      <c r="B55" s="30" t="s">
        <v>1643</v>
      </c>
      <c r="C55" s="1" t="str">
        <f t="shared" si="0"/>
        <v>w 4. okresie</v>
      </c>
    </row>
    <row r="56" spans="1:3" ht="14.25">
      <c r="A56" s="30" t="s">
        <v>2570</v>
      </c>
      <c r="B56" s="30" t="s">
        <v>1646</v>
      </c>
      <c r="C56" s="1" t="str">
        <f t="shared" si="0"/>
        <v>w 5. okresie</v>
      </c>
    </row>
    <row r="57" spans="1:3" ht="14.25">
      <c r="A57" s="30" t="s">
        <v>2571</v>
      </c>
      <c r="B57" s="30" t="s">
        <v>1647</v>
      </c>
      <c r="C57" s="1" t="str">
        <f t="shared" si="0"/>
        <v>w 6. okresie</v>
      </c>
    </row>
    <row r="58" spans="1:3" ht="14.25">
      <c r="A58" s="1" t="s">
        <v>2572</v>
      </c>
      <c r="B58" s="30" t="s">
        <v>2590</v>
      </c>
      <c r="C58" s="1" t="str">
        <f t="shared" si="0"/>
        <v>w 7. okresie</v>
      </c>
    </row>
    <row r="59" spans="1:3" ht="14.25">
      <c r="A59" s="1" t="s">
        <v>2573</v>
      </c>
      <c r="B59" s="30" t="s">
        <v>2591</v>
      </c>
      <c r="C59" s="1" t="str">
        <f t="shared" si="0"/>
        <v>w 8. okresie</v>
      </c>
    </row>
    <row r="60" spans="1:3" ht="14.25">
      <c r="A60" s="1" t="s">
        <v>2574</v>
      </c>
      <c r="B60" s="30" t="s">
        <v>2592</v>
      </c>
      <c r="C60" s="1" t="str">
        <f t="shared" si="0"/>
        <v>w 9. okresie</v>
      </c>
    </row>
    <row r="61" spans="1:3" ht="14.25">
      <c r="A61" s="1" t="s">
        <v>2575</v>
      </c>
      <c r="B61" s="30" t="s">
        <v>2593</v>
      </c>
      <c r="C61" s="1" t="str">
        <f t="shared" si="0"/>
        <v>w 10. okresie</v>
      </c>
    </row>
    <row r="62" spans="1:3" ht="14.25">
      <c r="A62" s="1" t="s">
        <v>2576</v>
      </c>
      <c r="B62" s="30" t="s">
        <v>2594</v>
      </c>
      <c r="C62" s="1" t="str">
        <f t="shared" si="0"/>
        <v>w 11. okresie</v>
      </c>
    </row>
    <row r="63" spans="1:3" ht="14.25">
      <c r="A63" s="1" t="s">
        <v>2577</v>
      </c>
      <c r="B63" s="30" t="s">
        <v>2595</v>
      </c>
      <c r="C63" s="1" t="str">
        <f t="shared" si="0"/>
        <v>w 12. okresie</v>
      </c>
    </row>
    <row r="64" spans="1:3" ht="14.25">
      <c r="A64" s="1" t="s">
        <v>2578</v>
      </c>
      <c r="B64" s="30" t="s">
        <v>2596</v>
      </c>
      <c r="C64" s="1" t="str">
        <f t="shared" si="0"/>
        <v>w 13. okresie</v>
      </c>
    </row>
    <row r="65" spans="1:3" ht="14.25">
      <c r="A65" s="1" t="s">
        <v>2579</v>
      </c>
      <c r="B65" s="30" t="s">
        <v>2597</v>
      </c>
      <c r="C65" s="1" t="str">
        <f t="shared" si="0"/>
        <v>w 14. okresie</v>
      </c>
    </row>
    <row r="66" spans="1:3" ht="14.25">
      <c r="A66" s="1" t="s">
        <v>2580</v>
      </c>
      <c r="B66" s="30" t="s">
        <v>2598</v>
      </c>
      <c r="C66" s="1" t="str">
        <f t="shared" si="0"/>
        <v>w 15. okresie</v>
      </c>
    </row>
    <row r="67" spans="1:3" ht="14.25">
      <c r="A67" s="1" t="s">
        <v>2581</v>
      </c>
      <c r="B67" s="30" t="s">
        <v>2599</v>
      </c>
      <c r="C67" s="1" t="str">
        <f t="shared" si="0"/>
        <v>w 16. okresie</v>
      </c>
    </row>
    <row r="68" spans="1:3" ht="14.25">
      <c r="A68" s="1" t="s">
        <v>2582</v>
      </c>
      <c r="B68" s="30" t="s">
        <v>2600</v>
      </c>
      <c r="C68" s="1" t="str">
        <f t="shared" si="0"/>
        <v>w 17. okresie</v>
      </c>
    </row>
    <row r="69" spans="1:3" ht="14.25">
      <c r="A69" s="1" t="s">
        <v>2583</v>
      </c>
      <c r="B69" s="30" t="s">
        <v>2601</v>
      </c>
      <c r="C69" s="1" t="str">
        <f aca="true" t="shared" si="2" ref="C69:C75">IF(Wybor="PL",A69,B69)</f>
        <v>w 18. okresie</v>
      </c>
    </row>
    <row r="70" spans="1:3" ht="14.25">
      <c r="A70" s="1" t="s">
        <v>2584</v>
      </c>
      <c r="B70" s="30" t="s">
        <v>2602</v>
      </c>
      <c r="C70" s="1" t="str">
        <f t="shared" si="2"/>
        <v>w 19. okresie</v>
      </c>
    </row>
    <row r="71" spans="1:3" ht="14.25">
      <c r="A71" s="1" t="s">
        <v>2585</v>
      </c>
      <c r="B71" s="30" t="s">
        <v>2603</v>
      </c>
      <c r="C71" s="1" t="str">
        <f t="shared" si="2"/>
        <v>w 20. okresie</v>
      </c>
    </row>
    <row r="72" spans="1:3" ht="14.25">
      <c r="A72" s="1" t="s">
        <v>2586</v>
      </c>
      <c r="B72" s="30" t="s">
        <v>2604</v>
      </c>
      <c r="C72" s="1" t="str">
        <f t="shared" si="2"/>
        <v>w 21. okresie</v>
      </c>
    </row>
    <row r="73" spans="1:3" ht="14.25">
      <c r="A73" s="1" t="s">
        <v>2587</v>
      </c>
      <c r="B73" s="30" t="s">
        <v>2605</v>
      </c>
      <c r="C73" s="1" t="str">
        <f t="shared" si="2"/>
        <v>w 22. okresie</v>
      </c>
    </row>
    <row r="74" spans="1:3" ht="14.25">
      <c r="A74" s="1" t="s">
        <v>2588</v>
      </c>
      <c r="B74" s="30" t="s">
        <v>2607</v>
      </c>
      <c r="C74" s="1" t="str">
        <f t="shared" si="2"/>
        <v>w 23. okresie</v>
      </c>
    </row>
    <row r="75" spans="1:3" ht="14.25">
      <c r="A75" s="1" t="s">
        <v>2589</v>
      </c>
      <c r="B75" s="30" t="s">
        <v>2606</v>
      </c>
      <c r="C75" s="1" t="str">
        <f t="shared" si="2"/>
        <v>w 24. okresie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K80"/>
  <sheetViews>
    <sheetView zoomScale="115" zoomScaleNormal="115" zoomScalePageLayoutView="0" workbookViewId="0" topLeftCell="A1">
      <pane xSplit="2" ySplit="1" topLeftCell="C7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0" defaultRowHeight="12.75" customHeight="1"/>
  <cols>
    <col min="1" max="1" width="10.875" style="13" customWidth="1"/>
    <col min="2" max="2" width="16.50390625" style="13" customWidth="1"/>
    <col min="3" max="3" width="30.875" style="13" customWidth="1"/>
    <col min="4" max="4" width="17.625" style="13" customWidth="1"/>
    <col min="5" max="5" width="11.875" style="13" customWidth="1"/>
    <col min="6" max="6" width="12.50390625" style="13" customWidth="1"/>
    <col min="7" max="7" width="18.00390625" style="13" customWidth="1"/>
    <col min="8" max="8" width="11.50390625" style="18" customWidth="1"/>
    <col min="9" max="9" width="15.875" style="18" customWidth="1"/>
    <col min="10" max="11" width="24.50390625" style="13" customWidth="1"/>
    <col min="12" max="16384" width="9.375" style="0" hidden="1" customWidth="1"/>
  </cols>
  <sheetData>
    <row r="1" spans="1:11" ht="40.5" customHeight="1" thickBot="1">
      <c r="A1" s="131" t="str">
        <f>Seria</f>
        <v>Seria</v>
      </c>
      <c r="B1" s="132" t="str">
        <f>ISIN</f>
        <v>Kod ISIN</v>
      </c>
      <c r="C1" s="132" t="str">
        <f>Wykup</f>
        <v>Data wykupu</v>
      </c>
      <c r="D1" s="132" t="str">
        <f>PoczatekSprzedazy</f>
        <v>Początek sprzedaży</v>
      </c>
      <c r="E1" s="132" t="str">
        <f>KoniecSprzedazy</f>
        <v>Koniec sprzedaży</v>
      </c>
      <c r="F1" s="108" t="str">
        <f>CenaEmisyjna</f>
        <v>Cena emisyjna</v>
      </c>
      <c r="G1" s="108" t="str">
        <f>switch_price</f>
        <v>Cena zamiany</v>
      </c>
      <c r="H1" s="132" t="str">
        <f>Sprzedaz&amp;"
(mln zł)"</f>
        <v>Sprzedaż łączna
(mln zł)</v>
      </c>
      <c r="I1" s="132" t="str">
        <f>switch&amp;" (mln zł)"</f>
        <v>w tym zamiana (mln zł)</v>
      </c>
      <c r="J1" s="108" t="str">
        <f>Oprocentowanie</f>
        <v>Oprocentowanie</v>
      </c>
      <c r="K1" s="108" t="str">
        <f>Odsetki&amp;" (zł)"</f>
        <v>Odsetki (zł)</v>
      </c>
    </row>
    <row r="2" spans="1:11" s="7" customFormat="1" ht="12.75" customHeight="1">
      <c r="A2" s="85" t="s">
        <v>1748</v>
      </c>
      <c r="B2" s="86" t="s">
        <v>1751</v>
      </c>
      <c r="C2" s="87" t="str">
        <f aca="true" t="shared" si="0" ref="C2:C59">"3"&amp;wykupOTS</f>
        <v>3 miesiące od dnia zakupu</v>
      </c>
      <c r="D2" s="87">
        <v>43009</v>
      </c>
      <c r="E2" s="87">
        <v>43039</v>
      </c>
      <c r="F2" s="88">
        <v>100</v>
      </c>
      <c r="G2" s="120" t="s">
        <v>8</v>
      </c>
      <c r="H2" s="89">
        <v>313.4814</v>
      </c>
      <c r="I2" s="89"/>
      <c r="J2" s="63">
        <v>0.015</v>
      </c>
      <c r="K2" s="120">
        <v>0.38</v>
      </c>
    </row>
    <row r="3" spans="1:11" s="7" customFormat="1" ht="12.75" customHeight="1">
      <c r="A3" s="85" t="s">
        <v>1766</v>
      </c>
      <c r="B3" s="86" t="s">
        <v>1767</v>
      </c>
      <c r="C3" s="87" t="str">
        <f t="shared" si="0"/>
        <v>3 miesiące od dnia zakupu</v>
      </c>
      <c r="D3" s="87">
        <v>43040</v>
      </c>
      <c r="E3" s="87">
        <v>43069</v>
      </c>
      <c r="F3" s="88">
        <v>100</v>
      </c>
      <c r="G3" s="120" t="s">
        <v>8</v>
      </c>
      <c r="H3" s="89">
        <v>179.1388</v>
      </c>
      <c r="I3" s="89"/>
      <c r="J3" s="63">
        <v>0.015</v>
      </c>
      <c r="K3" s="120">
        <v>0.38</v>
      </c>
    </row>
    <row r="4" spans="1:11" s="7" customFormat="1" ht="12.75" customHeight="1">
      <c r="A4" s="90" t="s">
        <v>1778</v>
      </c>
      <c r="B4" s="91" t="s">
        <v>1779</v>
      </c>
      <c r="C4" s="92" t="str">
        <f t="shared" si="0"/>
        <v>3 miesiące od dnia zakupu</v>
      </c>
      <c r="D4" s="92">
        <v>43070</v>
      </c>
      <c r="E4" s="92">
        <v>43100</v>
      </c>
      <c r="F4" s="93">
        <v>100</v>
      </c>
      <c r="G4" s="135" t="s">
        <v>8</v>
      </c>
      <c r="H4" s="94">
        <v>157.7078</v>
      </c>
      <c r="I4" s="94"/>
      <c r="J4" s="65">
        <v>0.015</v>
      </c>
      <c r="K4" s="135">
        <v>0.37</v>
      </c>
    </row>
    <row r="5" spans="1:11" s="7" customFormat="1" ht="12.75" customHeight="1">
      <c r="A5" s="85" t="s">
        <v>1792</v>
      </c>
      <c r="B5" s="86" t="s">
        <v>1799</v>
      </c>
      <c r="C5" s="87" t="str">
        <f t="shared" si="0"/>
        <v>3 miesiące od dnia zakupu</v>
      </c>
      <c r="D5" s="87">
        <v>43101</v>
      </c>
      <c r="E5" s="87">
        <v>43131</v>
      </c>
      <c r="F5" s="88">
        <v>100</v>
      </c>
      <c r="G5" s="120">
        <v>100</v>
      </c>
      <c r="H5" s="89">
        <v>277.5979</v>
      </c>
      <c r="I5" s="89">
        <v>36.349</v>
      </c>
      <c r="J5" s="63">
        <v>0.015</v>
      </c>
      <c r="K5" s="120">
        <v>0.37</v>
      </c>
    </row>
    <row r="6" spans="1:11" s="7" customFormat="1" ht="12.75" customHeight="1">
      <c r="A6" s="85" t="s">
        <v>1806</v>
      </c>
      <c r="B6" s="86" t="s">
        <v>1813</v>
      </c>
      <c r="C6" s="87" t="str">
        <f t="shared" si="0"/>
        <v>3 miesiące od dnia zakupu</v>
      </c>
      <c r="D6" s="87">
        <v>43132</v>
      </c>
      <c r="E6" s="87">
        <v>43159</v>
      </c>
      <c r="F6" s="88">
        <v>100</v>
      </c>
      <c r="G6" s="120">
        <v>100</v>
      </c>
      <c r="H6" s="89">
        <v>281.9527</v>
      </c>
      <c r="I6" s="89">
        <v>40.6849</v>
      </c>
      <c r="J6" s="63">
        <v>0.015</v>
      </c>
      <c r="K6" s="120">
        <v>0.37</v>
      </c>
    </row>
    <row r="7" spans="1:11" s="7" customFormat="1" ht="12.75" customHeight="1">
      <c r="A7" s="85" t="s">
        <v>1821</v>
      </c>
      <c r="B7" s="86" t="s">
        <v>1820</v>
      </c>
      <c r="C7" s="87" t="str">
        <f t="shared" si="0"/>
        <v>3 miesiące od dnia zakupu</v>
      </c>
      <c r="D7" s="87">
        <v>43160</v>
      </c>
      <c r="E7" s="87">
        <v>43190</v>
      </c>
      <c r="F7" s="88">
        <v>100</v>
      </c>
      <c r="G7" s="120">
        <v>100</v>
      </c>
      <c r="H7" s="89">
        <v>246.0392</v>
      </c>
      <c r="I7" s="89">
        <v>20.7639</v>
      </c>
      <c r="J7" s="63">
        <v>0.015</v>
      </c>
      <c r="K7" s="120">
        <v>0.38</v>
      </c>
    </row>
    <row r="8" spans="1:11" s="7" customFormat="1" ht="12.75" customHeight="1">
      <c r="A8" s="85" t="s">
        <v>1834</v>
      </c>
      <c r="B8" s="86" t="s">
        <v>1835</v>
      </c>
      <c r="C8" s="87" t="str">
        <f t="shared" si="0"/>
        <v>3 miesiące od dnia zakupu</v>
      </c>
      <c r="D8" s="87">
        <v>43191</v>
      </c>
      <c r="E8" s="87">
        <v>43220</v>
      </c>
      <c r="F8" s="88">
        <v>100</v>
      </c>
      <c r="G8" s="120">
        <v>100</v>
      </c>
      <c r="H8" s="89">
        <v>284.6159</v>
      </c>
      <c r="I8" s="89">
        <v>52.3515</v>
      </c>
      <c r="J8" s="63">
        <v>0.015</v>
      </c>
      <c r="K8" s="120">
        <v>0.37</v>
      </c>
    </row>
    <row r="9" spans="1:11" s="7" customFormat="1" ht="12.75" customHeight="1">
      <c r="A9" s="85" t="s">
        <v>1848</v>
      </c>
      <c r="B9" s="86" t="s">
        <v>1849</v>
      </c>
      <c r="C9" s="87" t="str">
        <f t="shared" si="0"/>
        <v>3 miesiące od dnia zakupu</v>
      </c>
      <c r="D9" s="87">
        <v>43221</v>
      </c>
      <c r="E9" s="87">
        <v>43251</v>
      </c>
      <c r="F9" s="88">
        <v>100</v>
      </c>
      <c r="G9" s="120">
        <v>100</v>
      </c>
      <c r="H9" s="89">
        <v>363.4239</v>
      </c>
      <c r="I9" s="89">
        <v>37.1467</v>
      </c>
      <c r="J9" s="63">
        <v>0.015</v>
      </c>
      <c r="K9" s="120">
        <v>0.38</v>
      </c>
    </row>
    <row r="10" spans="1:11" s="7" customFormat="1" ht="12.75" customHeight="1">
      <c r="A10" s="85" t="s">
        <v>1866</v>
      </c>
      <c r="B10" s="86" t="s">
        <v>1867</v>
      </c>
      <c r="C10" s="87" t="str">
        <f t="shared" si="0"/>
        <v>3 miesiące od dnia zakupu</v>
      </c>
      <c r="D10" s="87">
        <v>43252</v>
      </c>
      <c r="E10" s="87">
        <v>43281</v>
      </c>
      <c r="F10" s="88">
        <v>100</v>
      </c>
      <c r="G10" s="120">
        <v>100</v>
      </c>
      <c r="H10" s="89">
        <v>326.4716</v>
      </c>
      <c r="I10" s="89">
        <v>37.967</v>
      </c>
      <c r="J10" s="63">
        <v>0.015</v>
      </c>
      <c r="K10" s="120">
        <v>0.38</v>
      </c>
    </row>
    <row r="11" spans="1:11" s="7" customFormat="1" ht="12.75" customHeight="1">
      <c r="A11" s="85" t="s">
        <v>1883</v>
      </c>
      <c r="B11" s="86" t="s">
        <v>1884</v>
      </c>
      <c r="C11" s="87" t="str">
        <f t="shared" si="0"/>
        <v>3 miesiące od dnia zakupu</v>
      </c>
      <c r="D11" s="87">
        <v>43282</v>
      </c>
      <c r="E11" s="87">
        <v>43312</v>
      </c>
      <c r="F11" s="88">
        <v>100</v>
      </c>
      <c r="G11" s="120">
        <v>100</v>
      </c>
      <c r="H11" s="89">
        <v>399.3612</v>
      </c>
      <c r="I11" s="89">
        <v>74.2164</v>
      </c>
      <c r="J11" s="63">
        <v>0.015</v>
      </c>
      <c r="K11" s="120">
        <v>0.38</v>
      </c>
    </row>
    <row r="12" spans="1:11" ht="12.75" customHeight="1">
      <c r="A12" s="85" t="s">
        <v>1897</v>
      </c>
      <c r="B12" s="86" t="s">
        <v>1898</v>
      </c>
      <c r="C12" s="87" t="str">
        <f t="shared" si="0"/>
        <v>3 miesiące od dnia zakupu</v>
      </c>
      <c r="D12" s="87">
        <v>43313</v>
      </c>
      <c r="E12" s="87">
        <v>43343</v>
      </c>
      <c r="F12" s="88">
        <v>100</v>
      </c>
      <c r="G12" s="120">
        <v>100</v>
      </c>
      <c r="H12" s="89">
        <v>445.9128</v>
      </c>
      <c r="I12" s="89">
        <v>67.7318</v>
      </c>
      <c r="J12" s="63">
        <v>0.015</v>
      </c>
      <c r="K12" s="120">
        <v>0.38</v>
      </c>
    </row>
    <row r="13" spans="1:11" ht="12.75" customHeight="1">
      <c r="A13" s="85" t="s">
        <v>1911</v>
      </c>
      <c r="B13" s="86" t="s">
        <v>1912</v>
      </c>
      <c r="C13" s="87" t="str">
        <f t="shared" si="0"/>
        <v>3 miesiące od dnia zakupu</v>
      </c>
      <c r="D13" s="87">
        <v>43344</v>
      </c>
      <c r="E13" s="87">
        <v>43373</v>
      </c>
      <c r="F13" s="88">
        <v>100</v>
      </c>
      <c r="G13" s="120">
        <v>100</v>
      </c>
      <c r="H13" s="89">
        <v>397.4503</v>
      </c>
      <c r="I13" s="89">
        <v>55.068</v>
      </c>
      <c r="J13" s="63">
        <v>0.015</v>
      </c>
      <c r="K13" s="120">
        <v>0.37</v>
      </c>
    </row>
    <row r="14" spans="1:11" ht="12.75" customHeight="1">
      <c r="A14" s="85" t="s">
        <v>1925</v>
      </c>
      <c r="B14" s="86" t="s">
        <v>1926</v>
      </c>
      <c r="C14" s="87" t="str">
        <f t="shared" si="0"/>
        <v>3 miesiące od dnia zakupu</v>
      </c>
      <c r="D14" s="87">
        <v>43374</v>
      </c>
      <c r="E14" s="87">
        <v>43404</v>
      </c>
      <c r="F14" s="88">
        <v>100</v>
      </c>
      <c r="G14" s="120">
        <v>100</v>
      </c>
      <c r="H14" s="89">
        <v>417.2382</v>
      </c>
      <c r="I14" s="89">
        <v>78.5352</v>
      </c>
      <c r="J14" s="63">
        <v>0.015</v>
      </c>
      <c r="K14" s="120">
        <v>0.38</v>
      </c>
    </row>
    <row r="15" spans="1:11" ht="12.75" customHeight="1">
      <c r="A15" s="85" t="s">
        <v>1939</v>
      </c>
      <c r="B15" s="86" t="s">
        <v>1940</v>
      </c>
      <c r="C15" s="87" t="str">
        <f t="shared" si="0"/>
        <v>3 miesiące od dnia zakupu</v>
      </c>
      <c r="D15" s="87">
        <v>43405</v>
      </c>
      <c r="E15" s="87">
        <v>43434</v>
      </c>
      <c r="F15" s="88">
        <v>100</v>
      </c>
      <c r="G15" s="120">
        <v>100</v>
      </c>
      <c r="H15" s="89">
        <v>389.2893</v>
      </c>
      <c r="I15" s="89">
        <v>63.2017</v>
      </c>
      <c r="J15" s="63">
        <v>0.015</v>
      </c>
      <c r="K15" s="120">
        <v>0.38</v>
      </c>
    </row>
    <row r="16" spans="1:11" ht="12.75" customHeight="1">
      <c r="A16" s="90" t="s">
        <v>1953</v>
      </c>
      <c r="B16" s="91" t="s">
        <v>1954</v>
      </c>
      <c r="C16" s="92" t="str">
        <f t="shared" si="0"/>
        <v>3 miesiące od dnia zakupu</v>
      </c>
      <c r="D16" s="92">
        <v>43435</v>
      </c>
      <c r="E16" s="92">
        <v>43465</v>
      </c>
      <c r="F16" s="93">
        <v>100</v>
      </c>
      <c r="G16" s="135">
        <v>100</v>
      </c>
      <c r="H16" s="94">
        <v>364.1004</v>
      </c>
      <c r="I16" s="94">
        <v>58.9577</v>
      </c>
      <c r="J16" s="65">
        <v>0.015</v>
      </c>
      <c r="K16" s="135">
        <v>0.37</v>
      </c>
    </row>
    <row r="17" spans="1:11" ht="12.75" customHeight="1">
      <c r="A17" s="113" t="s">
        <v>1968</v>
      </c>
      <c r="B17" s="114" t="s">
        <v>1967</v>
      </c>
      <c r="C17" s="136" t="str">
        <f t="shared" si="0"/>
        <v>3 miesiące od dnia zakupu</v>
      </c>
      <c r="D17" s="136">
        <v>43466</v>
      </c>
      <c r="E17" s="136">
        <v>43496</v>
      </c>
      <c r="F17" s="137">
        <v>100</v>
      </c>
      <c r="G17" s="138">
        <v>100</v>
      </c>
      <c r="H17" s="139">
        <v>323.0099</v>
      </c>
      <c r="I17" s="139">
        <v>75.4054</v>
      </c>
      <c r="J17" s="66">
        <v>0.015</v>
      </c>
      <c r="K17" s="138">
        <v>0.37</v>
      </c>
    </row>
    <row r="18" spans="1:11" ht="12.75" customHeight="1">
      <c r="A18" s="85" t="s">
        <v>1981</v>
      </c>
      <c r="B18" s="86" t="s">
        <v>1982</v>
      </c>
      <c r="C18" s="87" t="str">
        <f t="shared" si="0"/>
        <v>3 miesiące od dnia zakupu</v>
      </c>
      <c r="D18" s="87">
        <v>43497</v>
      </c>
      <c r="E18" s="87">
        <v>43524</v>
      </c>
      <c r="F18" s="88">
        <v>100</v>
      </c>
      <c r="G18" s="120">
        <v>100</v>
      </c>
      <c r="H18" s="89">
        <v>319.7659</v>
      </c>
      <c r="I18" s="89">
        <v>62.4989</v>
      </c>
      <c r="J18" s="63">
        <v>0.015</v>
      </c>
      <c r="K18" s="120">
        <v>0.37</v>
      </c>
    </row>
    <row r="19" spans="1:11" ht="12.75" customHeight="1">
      <c r="A19" s="85" t="s">
        <v>1995</v>
      </c>
      <c r="B19" s="86" t="s">
        <v>1996</v>
      </c>
      <c r="C19" s="87" t="s">
        <v>2012</v>
      </c>
      <c r="D19" s="87">
        <v>43525</v>
      </c>
      <c r="E19" s="87">
        <v>43555</v>
      </c>
      <c r="F19" s="88">
        <v>100</v>
      </c>
      <c r="G19" s="120">
        <v>100</v>
      </c>
      <c r="H19" s="89">
        <v>380.5628</v>
      </c>
      <c r="I19" s="89">
        <v>61.1617</v>
      </c>
      <c r="J19" s="63">
        <v>0.015</v>
      </c>
      <c r="K19" s="120">
        <v>0.38</v>
      </c>
    </row>
    <row r="20" spans="1:11" ht="12.75" customHeight="1">
      <c r="A20" s="85" t="s">
        <v>2013</v>
      </c>
      <c r="B20" s="86" t="s">
        <v>2014</v>
      </c>
      <c r="C20" s="87" t="str">
        <f t="shared" si="0"/>
        <v>3 miesiące od dnia zakupu</v>
      </c>
      <c r="D20" s="87">
        <v>43556</v>
      </c>
      <c r="E20" s="87">
        <v>43585</v>
      </c>
      <c r="F20" s="88">
        <v>100</v>
      </c>
      <c r="G20" s="120">
        <v>100</v>
      </c>
      <c r="H20" s="89">
        <v>359.0425</v>
      </c>
      <c r="I20" s="89">
        <v>67.4427</v>
      </c>
      <c r="J20" s="63">
        <v>0.015</v>
      </c>
      <c r="K20" s="120">
        <v>0.37</v>
      </c>
    </row>
    <row r="21" spans="1:11" ht="12.75" customHeight="1">
      <c r="A21" s="85" t="s">
        <v>2030</v>
      </c>
      <c r="B21" s="86" t="s">
        <v>2031</v>
      </c>
      <c r="C21" s="87" t="str">
        <f t="shared" si="0"/>
        <v>3 miesiące od dnia zakupu</v>
      </c>
      <c r="D21" s="87">
        <v>43586</v>
      </c>
      <c r="E21" s="87">
        <v>43616</v>
      </c>
      <c r="F21" s="88">
        <v>100</v>
      </c>
      <c r="G21" s="120">
        <v>100</v>
      </c>
      <c r="H21" s="89">
        <v>426.3911</v>
      </c>
      <c r="I21" s="89">
        <v>51.9965</v>
      </c>
      <c r="J21" s="63">
        <v>0.015</v>
      </c>
      <c r="K21" s="120">
        <v>0.38</v>
      </c>
    </row>
    <row r="22" spans="1:11" ht="12.75" customHeight="1">
      <c r="A22" s="85" t="s">
        <v>2044</v>
      </c>
      <c r="B22" s="86" t="s">
        <v>2045</v>
      </c>
      <c r="C22" s="87" t="str">
        <f t="shared" si="0"/>
        <v>3 miesiące od dnia zakupu</v>
      </c>
      <c r="D22" s="87">
        <v>43617</v>
      </c>
      <c r="E22" s="87">
        <v>43646</v>
      </c>
      <c r="F22" s="88">
        <v>100</v>
      </c>
      <c r="G22" s="120">
        <v>100</v>
      </c>
      <c r="H22" s="89">
        <v>314.1126</v>
      </c>
      <c r="I22" s="89">
        <v>52.9907</v>
      </c>
      <c r="J22" s="63">
        <v>0.015</v>
      </c>
      <c r="K22" s="120">
        <v>0.38</v>
      </c>
    </row>
    <row r="23" spans="1:11" ht="12.75" customHeight="1">
      <c r="A23" s="85" t="s">
        <v>2060</v>
      </c>
      <c r="B23" s="86" t="s">
        <v>2061</v>
      </c>
      <c r="C23" s="87" t="str">
        <f t="shared" si="0"/>
        <v>3 miesiące od dnia zakupu</v>
      </c>
      <c r="D23" s="87">
        <v>43647</v>
      </c>
      <c r="E23" s="87">
        <v>43677</v>
      </c>
      <c r="F23" s="88">
        <v>100</v>
      </c>
      <c r="G23" s="120">
        <v>100</v>
      </c>
      <c r="H23" s="89">
        <v>486.8693</v>
      </c>
      <c r="I23" s="89">
        <v>74.1321</v>
      </c>
      <c r="J23" s="63">
        <v>0.015</v>
      </c>
      <c r="K23" s="120">
        <v>0.38</v>
      </c>
    </row>
    <row r="24" spans="1:11" ht="12.75" customHeight="1">
      <c r="A24" s="85" t="s">
        <v>2074</v>
      </c>
      <c r="B24" s="86" t="s">
        <v>2075</v>
      </c>
      <c r="C24" s="87" t="str">
        <f t="shared" si="0"/>
        <v>3 miesiące od dnia zakupu</v>
      </c>
      <c r="D24" s="87">
        <v>43678</v>
      </c>
      <c r="E24" s="87">
        <v>43708</v>
      </c>
      <c r="F24" s="88">
        <v>100</v>
      </c>
      <c r="G24" s="120">
        <v>100</v>
      </c>
      <c r="H24" s="89">
        <v>475.4938</v>
      </c>
      <c r="I24" s="89">
        <v>69.5822</v>
      </c>
      <c r="J24" s="63">
        <v>0.015</v>
      </c>
      <c r="K24" s="120">
        <v>0.38</v>
      </c>
    </row>
    <row r="25" spans="1:11" ht="12.75" customHeight="1">
      <c r="A25" s="85" t="s">
        <v>2088</v>
      </c>
      <c r="B25" s="86" t="s">
        <v>2089</v>
      </c>
      <c r="C25" s="87" t="str">
        <f t="shared" si="0"/>
        <v>3 miesiące od dnia zakupu</v>
      </c>
      <c r="D25" s="87">
        <v>43709</v>
      </c>
      <c r="E25" s="87">
        <v>43738</v>
      </c>
      <c r="F25" s="88">
        <v>100</v>
      </c>
      <c r="G25" s="120">
        <v>100</v>
      </c>
      <c r="H25" s="89">
        <v>398.9941</v>
      </c>
      <c r="I25" s="89">
        <v>48.2434</v>
      </c>
      <c r="J25" s="63">
        <v>0.015</v>
      </c>
      <c r="K25" s="120">
        <v>0.37</v>
      </c>
    </row>
    <row r="26" spans="1:11" ht="12.75" customHeight="1">
      <c r="A26" s="85" t="s">
        <v>2102</v>
      </c>
      <c r="B26" s="86" t="s">
        <v>2103</v>
      </c>
      <c r="C26" s="87" t="str">
        <f t="shared" si="0"/>
        <v>3 miesiące od dnia zakupu</v>
      </c>
      <c r="D26" s="87">
        <v>43739</v>
      </c>
      <c r="E26" s="87">
        <v>43769</v>
      </c>
      <c r="F26" s="88">
        <v>100</v>
      </c>
      <c r="G26" s="120">
        <v>100</v>
      </c>
      <c r="H26" s="89">
        <v>527.6588</v>
      </c>
      <c r="I26" s="89">
        <v>84.0789</v>
      </c>
      <c r="J26" s="63">
        <v>0.015</v>
      </c>
      <c r="K26" s="120">
        <v>0.38</v>
      </c>
    </row>
    <row r="27" spans="1:11" ht="12.75" customHeight="1">
      <c r="A27" s="85" t="s">
        <v>2116</v>
      </c>
      <c r="B27" s="86" t="s">
        <v>2117</v>
      </c>
      <c r="C27" s="87" t="str">
        <f t="shared" si="0"/>
        <v>3 miesiące od dnia zakupu</v>
      </c>
      <c r="D27" s="87">
        <v>43770</v>
      </c>
      <c r="E27" s="87">
        <v>43799</v>
      </c>
      <c r="F27" s="88">
        <v>100</v>
      </c>
      <c r="G27" s="120">
        <v>100</v>
      </c>
      <c r="H27" s="89">
        <v>472.4159</v>
      </c>
      <c r="I27" s="89">
        <v>82.4629</v>
      </c>
      <c r="J27" s="63">
        <v>0.015</v>
      </c>
      <c r="K27" s="120">
        <v>0.38</v>
      </c>
    </row>
    <row r="28" spans="1:11" ht="12.75" customHeight="1">
      <c r="A28" s="90" t="s">
        <v>2130</v>
      </c>
      <c r="B28" s="91" t="s">
        <v>2131</v>
      </c>
      <c r="C28" s="92" t="str">
        <f t="shared" si="0"/>
        <v>3 miesiące od dnia zakupu</v>
      </c>
      <c r="D28" s="92">
        <v>43800</v>
      </c>
      <c r="E28" s="92">
        <v>43830</v>
      </c>
      <c r="F28" s="93">
        <v>100</v>
      </c>
      <c r="G28" s="135">
        <v>100</v>
      </c>
      <c r="H28" s="94">
        <v>424.0045</v>
      </c>
      <c r="I28" s="94">
        <v>76.8691</v>
      </c>
      <c r="J28" s="65">
        <v>0.015</v>
      </c>
      <c r="K28" s="135">
        <v>0.37</v>
      </c>
    </row>
    <row r="29" spans="1:11" ht="12.75" customHeight="1">
      <c r="A29" s="113" t="s">
        <v>2144</v>
      </c>
      <c r="B29" s="114" t="s">
        <v>2145</v>
      </c>
      <c r="C29" s="136" t="str">
        <f t="shared" si="0"/>
        <v>3 miesiące od dnia zakupu</v>
      </c>
      <c r="D29" s="136">
        <v>43831</v>
      </c>
      <c r="E29" s="136">
        <v>43861</v>
      </c>
      <c r="F29" s="137">
        <v>100</v>
      </c>
      <c r="G29" s="138">
        <v>100</v>
      </c>
      <c r="H29" s="139">
        <v>654.7266</v>
      </c>
      <c r="I29" s="139">
        <v>99.3776</v>
      </c>
      <c r="J29" s="66">
        <v>0.015</v>
      </c>
      <c r="K29" s="138">
        <v>0.37</v>
      </c>
    </row>
    <row r="30" spans="1:11" ht="12.75" customHeight="1">
      <c r="A30" s="85" t="s">
        <v>2158</v>
      </c>
      <c r="B30" s="86" t="s">
        <v>2159</v>
      </c>
      <c r="C30" s="87" t="str">
        <f t="shared" si="0"/>
        <v>3 miesiące od dnia zakupu</v>
      </c>
      <c r="D30" s="87">
        <v>43862</v>
      </c>
      <c r="E30" s="87">
        <v>43889</v>
      </c>
      <c r="F30" s="88">
        <v>100</v>
      </c>
      <c r="G30" s="120">
        <v>100</v>
      </c>
      <c r="H30" s="89">
        <v>571.6868</v>
      </c>
      <c r="I30" s="89">
        <v>93.8644</v>
      </c>
      <c r="J30" s="63">
        <v>0.015</v>
      </c>
      <c r="K30" s="120">
        <v>0.37</v>
      </c>
    </row>
    <row r="31" spans="1:11" ht="12.75" customHeight="1">
      <c r="A31" s="85" t="s">
        <v>2173</v>
      </c>
      <c r="B31" s="86" t="s">
        <v>2179</v>
      </c>
      <c r="C31" s="87" t="str">
        <f t="shared" si="0"/>
        <v>3 miesiące od dnia zakupu</v>
      </c>
      <c r="D31" s="87">
        <v>43891</v>
      </c>
      <c r="E31" s="87">
        <v>43921</v>
      </c>
      <c r="F31" s="88">
        <v>100</v>
      </c>
      <c r="G31" s="120">
        <v>100</v>
      </c>
      <c r="H31" s="89">
        <v>596.6686</v>
      </c>
      <c r="I31" s="89">
        <v>65.3279</v>
      </c>
      <c r="J31" s="63">
        <v>0.015</v>
      </c>
      <c r="K31" s="120">
        <v>0.38</v>
      </c>
    </row>
    <row r="32" spans="1:11" ht="12.75" customHeight="1">
      <c r="A32" s="85" t="s">
        <v>2186</v>
      </c>
      <c r="B32" s="86" t="s">
        <v>2187</v>
      </c>
      <c r="C32" s="87" t="str">
        <f t="shared" si="0"/>
        <v>3 miesiące od dnia zakupu</v>
      </c>
      <c r="D32" s="87">
        <v>43922</v>
      </c>
      <c r="E32" s="87">
        <v>43951</v>
      </c>
      <c r="F32" s="88">
        <v>100</v>
      </c>
      <c r="G32" s="120">
        <v>100</v>
      </c>
      <c r="H32" s="89">
        <v>1078.3964</v>
      </c>
      <c r="I32" s="89">
        <v>119.2433</v>
      </c>
      <c r="J32" s="63">
        <v>0.015</v>
      </c>
      <c r="K32" s="120">
        <v>0.37</v>
      </c>
    </row>
    <row r="33" spans="1:11" ht="12.75" customHeight="1">
      <c r="A33" s="85" t="s">
        <v>2202</v>
      </c>
      <c r="B33" s="86" t="s">
        <v>2203</v>
      </c>
      <c r="C33" s="87" t="str">
        <f t="shared" si="0"/>
        <v>3 miesiące od dnia zakupu</v>
      </c>
      <c r="D33" s="87">
        <v>43952</v>
      </c>
      <c r="E33" s="87">
        <v>43982</v>
      </c>
      <c r="F33" s="88">
        <v>100</v>
      </c>
      <c r="G33" s="120">
        <v>100</v>
      </c>
      <c r="H33" s="89">
        <v>331.5912</v>
      </c>
      <c r="I33" s="89">
        <v>75.3393</v>
      </c>
      <c r="J33" s="63">
        <v>0.005</v>
      </c>
      <c r="K33" s="120">
        <v>0.13</v>
      </c>
    </row>
    <row r="34" spans="1:11" ht="12.75" customHeight="1">
      <c r="A34" s="85" t="s">
        <v>2214</v>
      </c>
      <c r="B34" s="86" t="s">
        <v>2215</v>
      </c>
      <c r="C34" s="87" t="str">
        <f t="shared" si="0"/>
        <v>3 miesiące od dnia zakupu</v>
      </c>
      <c r="D34" s="87">
        <v>43983</v>
      </c>
      <c r="E34" s="87">
        <v>44012</v>
      </c>
      <c r="F34" s="88">
        <v>100</v>
      </c>
      <c r="G34" s="120">
        <v>100</v>
      </c>
      <c r="H34" s="89">
        <v>537.7642</v>
      </c>
      <c r="I34" s="89">
        <v>74.2173</v>
      </c>
      <c r="J34" s="63">
        <v>0.005</v>
      </c>
      <c r="K34" s="120">
        <v>0.13</v>
      </c>
    </row>
    <row r="35" spans="1:11" ht="12.75" customHeight="1">
      <c r="A35" s="85" t="s">
        <v>2228</v>
      </c>
      <c r="B35" s="86" t="s">
        <v>2229</v>
      </c>
      <c r="C35" s="87" t="str">
        <f t="shared" si="0"/>
        <v>3 miesiące od dnia zakupu</v>
      </c>
      <c r="D35" s="87">
        <v>44013</v>
      </c>
      <c r="E35" s="87">
        <v>44043</v>
      </c>
      <c r="F35" s="88">
        <v>100</v>
      </c>
      <c r="G35" s="120">
        <v>100</v>
      </c>
      <c r="H35" s="89">
        <v>1197.2533</v>
      </c>
      <c r="I35" s="89">
        <v>156.973</v>
      </c>
      <c r="J35" s="63">
        <v>0.005</v>
      </c>
      <c r="K35" s="120">
        <v>0.13</v>
      </c>
    </row>
    <row r="36" spans="1:11" ht="12.75" customHeight="1">
      <c r="A36" s="85" t="s">
        <v>2242</v>
      </c>
      <c r="B36" s="86" t="s">
        <v>2243</v>
      </c>
      <c r="C36" s="87" t="str">
        <f t="shared" si="0"/>
        <v>3 miesiące od dnia zakupu</v>
      </c>
      <c r="D36" s="87">
        <v>44044</v>
      </c>
      <c r="E36" s="87">
        <v>44074</v>
      </c>
      <c r="F36" s="88">
        <v>100</v>
      </c>
      <c r="G36" s="120">
        <v>100</v>
      </c>
      <c r="H36" s="89">
        <v>821.6639</v>
      </c>
      <c r="I36" s="89">
        <v>73.8783</v>
      </c>
      <c r="J36" s="63">
        <v>0.005</v>
      </c>
      <c r="K36" s="120">
        <v>0.13</v>
      </c>
    </row>
    <row r="37" spans="1:11" ht="12.75" customHeight="1">
      <c r="A37" s="85" t="s">
        <v>2259</v>
      </c>
      <c r="B37" s="86" t="s">
        <v>2256</v>
      </c>
      <c r="C37" s="87" t="str">
        <f t="shared" si="0"/>
        <v>3 miesiące od dnia zakupu</v>
      </c>
      <c r="D37" s="87">
        <v>44075</v>
      </c>
      <c r="E37" s="87">
        <v>44104</v>
      </c>
      <c r="F37" s="88">
        <v>100</v>
      </c>
      <c r="G37" s="120">
        <v>100</v>
      </c>
      <c r="H37" s="89">
        <v>1060.5204</v>
      </c>
      <c r="I37" s="89">
        <v>110.5296</v>
      </c>
      <c r="J37" s="63">
        <v>0.005</v>
      </c>
      <c r="K37" s="120">
        <v>0.12</v>
      </c>
    </row>
    <row r="38" spans="1:11" ht="12.75" customHeight="1">
      <c r="A38" s="85" t="s">
        <v>2270</v>
      </c>
      <c r="B38" s="86" t="s">
        <v>2271</v>
      </c>
      <c r="C38" s="87" t="str">
        <f t="shared" si="0"/>
        <v>3 miesiące od dnia zakupu</v>
      </c>
      <c r="D38" s="87">
        <v>44105</v>
      </c>
      <c r="E38" s="87">
        <v>44135</v>
      </c>
      <c r="F38" s="88">
        <v>100</v>
      </c>
      <c r="G38" s="120">
        <v>100</v>
      </c>
      <c r="H38" s="89">
        <v>1325.4475</v>
      </c>
      <c r="I38" s="89">
        <v>263.2513</v>
      </c>
      <c r="J38" s="63">
        <v>0.005</v>
      </c>
      <c r="K38" s="120">
        <v>0.13</v>
      </c>
    </row>
    <row r="39" spans="1:11" ht="12.75" customHeight="1">
      <c r="A39" s="85" t="s">
        <v>2284</v>
      </c>
      <c r="B39" s="86" t="s">
        <v>2285</v>
      </c>
      <c r="C39" s="87" t="str">
        <f t="shared" si="0"/>
        <v>3 miesiące od dnia zakupu</v>
      </c>
      <c r="D39" s="87">
        <v>44136</v>
      </c>
      <c r="E39" s="87">
        <v>44165</v>
      </c>
      <c r="F39" s="88">
        <v>100</v>
      </c>
      <c r="G39" s="120">
        <v>100</v>
      </c>
      <c r="H39" s="89">
        <v>1042.4091</v>
      </c>
      <c r="I39" s="89">
        <v>135.8808</v>
      </c>
      <c r="J39" s="63">
        <v>0.005</v>
      </c>
      <c r="K39" s="120">
        <v>0.13</v>
      </c>
    </row>
    <row r="40" spans="1:11" ht="12.75" customHeight="1">
      <c r="A40" s="90" t="s">
        <v>2298</v>
      </c>
      <c r="B40" s="91" t="s">
        <v>2299</v>
      </c>
      <c r="C40" s="92" t="str">
        <f t="shared" si="0"/>
        <v>3 miesiące od dnia zakupu</v>
      </c>
      <c r="D40" s="92">
        <v>44166</v>
      </c>
      <c r="E40" s="92">
        <v>44196</v>
      </c>
      <c r="F40" s="93">
        <v>100</v>
      </c>
      <c r="G40" s="135">
        <v>100</v>
      </c>
      <c r="H40" s="94">
        <v>1350.1612</v>
      </c>
      <c r="I40" s="94">
        <v>244.6</v>
      </c>
      <c r="J40" s="65">
        <v>0.005</v>
      </c>
      <c r="K40" s="135">
        <v>0.12</v>
      </c>
    </row>
    <row r="41" spans="1:11" ht="12.75" customHeight="1">
      <c r="A41" s="113" t="s">
        <v>2312</v>
      </c>
      <c r="B41" s="114" t="s">
        <v>2319</v>
      </c>
      <c r="C41" s="136" t="str">
        <f t="shared" si="0"/>
        <v>3 miesiące od dnia zakupu</v>
      </c>
      <c r="D41" s="136">
        <v>44197</v>
      </c>
      <c r="E41" s="136">
        <v>44227</v>
      </c>
      <c r="F41" s="137">
        <v>100</v>
      </c>
      <c r="G41" s="138">
        <v>100</v>
      </c>
      <c r="H41" s="139">
        <v>1468.3681</v>
      </c>
      <c r="I41" s="139">
        <v>291.701</v>
      </c>
      <c r="J41" s="66">
        <v>0.005</v>
      </c>
      <c r="K41" s="138">
        <v>0.12</v>
      </c>
    </row>
    <row r="42" spans="1:11" ht="12.75" customHeight="1">
      <c r="A42" s="85" t="s">
        <v>2326</v>
      </c>
      <c r="B42" s="86" t="s">
        <v>2327</v>
      </c>
      <c r="C42" s="87" t="str">
        <f t="shared" si="0"/>
        <v>3 miesiące od dnia zakupu</v>
      </c>
      <c r="D42" s="87">
        <v>44228</v>
      </c>
      <c r="E42" s="87">
        <v>44255</v>
      </c>
      <c r="F42" s="88">
        <v>100</v>
      </c>
      <c r="G42" s="120">
        <v>100</v>
      </c>
      <c r="H42" s="89">
        <v>1464.6388</v>
      </c>
      <c r="I42" s="89">
        <v>206.134</v>
      </c>
      <c r="J42" s="63">
        <v>0.005</v>
      </c>
      <c r="K42" s="120">
        <v>0.12</v>
      </c>
    </row>
    <row r="43" spans="1:11" ht="12.75" customHeight="1">
      <c r="A43" s="85" t="s">
        <v>2340</v>
      </c>
      <c r="B43" s="86" t="s">
        <v>2341</v>
      </c>
      <c r="C43" s="87" t="str">
        <f t="shared" si="0"/>
        <v>3 miesiące od dnia zakupu</v>
      </c>
      <c r="D43" s="87">
        <v>44256</v>
      </c>
      <c r="E43" s="87">
        <v>44286</v>
      </c>
      <c r="F43" s="88">
        <v>100</v>
      </c>
      <c r="G43" s="120">
        <v>100</v>
      </c>
      <c r="H43" s="89">
        <v>2011.7589</v>
      </c>
      <c r="I43" s="89">
        <v>351.8194</v>
      </c>
      <c r="J43" s="63">
        <v>0.005</v>
      </c>
      <c r="K43" s="120">
        <v>0.13</v>
      </c>
    </row>
    <row r="44" spans="1:11" ht="12.75" customHeight="1">
      <c r="A44" s="85" t="s">
        <v>2354</v>
      </c>
      <c r="B44" s="86" t="s">
        <v>2355</v>
      </c>
      <c r="C44" s="87" t="str">
        <f t="shared" si="0"/>
        <v>3 miesiące od dnia zakupu</v>
      </c>
      <c r="D44" s="87">
        <v>44287</v>
      </c>
      <c r="E44" s="87">
        <v>44316</v>
      </c>
      <c r="F44" s="88">
        <v>100</v>
      </c>
      <c r="G44" s="120">
        <v>100</v>
      </c>
      <c r="H44" s="89">
        <v>1866.9868</v>
      </c>
      <c r="I44" s="89">
        <v>306.3703</v>
      </c>
      <c r="J44" s="63">
        <v>0.005</v>
      </c>
      <c r="K44" s="120">
        <v>0.12</v>
      </c>
    </row>
    <row r="45" spans="1:11" ht="12.75" customHeight="1">
      <c r="A45" s="85" t="s">
        <v>2368</v>
      </c>
      <c r="B45" s="86" t="s">
        <v>2369</v>
      </c>
      <c r="C45" s="87" t="str">
        <f t="shared" si="0"/>
        <v>3 miesiące od dnia zakupu</v>
      </c>
      <c r="D45" s="87">
        <v>44317</v>
      </c>
      <c r="E45" s="87">
        <v>44347</v>
      </c>
      <c r="F45" s="88">
        <v>100</v>
      </c>
      <c r="G45" s="120">
        <v>100</v>
      </c>
      <c r="H45" s="89">
        <v>1932.2229</v>
      </c>
      <c r="I45" s="89">
        <v>479.5099</v>
      </c>
      <c r="J45" s="63">
        <v>0.005</v>
      </c>
      <c r="K45" s="120">
        <v>0.13</v>
      </c>
    </row>
    <row r="46" spans="1:11" ht="12.75" customHeight="1">
      <c r="A46" s="85" t="s">
        <v>2382</v>
      </c>
      <c r="B46" s="86" t="s">
        <v>2383</v>
      </c>
      <c r="C46" s="87" t="str">
        <f t="shared" si="0"/>
        <v>3 miesiące od dnia zakupu</v>
      </c>
      <c r="D46" s="87">
        <v>44348</v>
      </c>
      <c r="E46" s="87">
        <v>44377</v>
      </c>
      <c r="F46" s="88">
        <v>100</v>
      </c>
      <c r="G46" s="120">
        <v>100</v>
      </c>
      <c r="H46" s="89">
        <v>1975.1317</v>
      </c>
      <c r="I46" s="89">
        <v>586.9894</v>
      </c>
      <c r="J46" s="63">
        <v>0.005</v>
      </c>
      <c r="K46" s="120">
        <v>0.13</v>
      </c>
    </row>
    <row r="47" spans="1:11" ht="12.75" customHeight="1">
      <c r="A47" s="85" t="s">
        <v>2396</v>
      </c>
      <c r="B47" s="86" t="s">
        <v>2397</v>
      </c>
      <c r="C47" s="87" t="str">
        <f t="shared" si="0"/>
        <v>3 miesiące od dnia zakupu</v>
      </c>
      <c r="D47" s="87">
        <v>44378</v>
      </c>
      <c r="E47" s="87">
        <v>44408</v>
      </c>
      <c r="F47" s="88">
        <v>100</v>
      </c>
      <c r="G47" s="120">
        <v>100</v>
      </c>
      <c r="H47" s="89">
        <v>1964.3224</v>
      </c>
      <c r="I47" s="89">
        <v>508.3695</v>
      </c>
      <c r="J47" s="63">
        <v>0.005</v>
      </c>
      <c r="K47" s="120">
        <v>0.13</v>
      </c>
    </row>
    <row r="48" spans="1:11" ht="12.75" customHeight="1">
      <c r="A48" s="85" t="s">
        <v>2410</v>
      </c>
      <c r="B48" s="86" t="s">
        <v>2417</v>
      </c>
      <c r="C48" s="87" t="str">
        <f t="shared" si="0"/>
        <v>3 miesiące od dnia zakupu</v>
      </c>
      <c r="D48" s="87">
        <v>44409</v>
      </c>
      <c r="E48" s="87">
        <v>44439</v>
      </c>
      <c r="F48" s="88">
        <v>100</v>
      </c>
      <c r="G48" s="120">
        <v>100</v>
      </c>
      <c r="H48" s="89">
        <v>2068.3147</v>
      </c>
      <c r="I48" s="89">
        <v>636.1229</v>
      </c>
      <c r="J48" s="63">
        <v>0.005</v>
      </c>
      <c r="K48" s="120">
        <v>0.13</v>
      </c>
    </row>
    <row r="49" spans="1:11" ht="12.75" customHeight="1">
      <c r="A49" s="85" t="s">
        <v>2424</v>
      </c>
      <c r="B49" s="86" t="s">
        <v>2425</v>
      </c>
      <c r="C49" s="87" t="str">
        <f t="shared" si="0"/>
        <v>3 miesiące od dnia zakupu</v>
      </c>
      <c r="D49" s="87">
        <v>44440</v>
      </c>
      <c r="E49" s="87">
        <v>44469</v>
      </c>
      <c r="F49" s="88">
        <v>100</v>
      </c>
      <c r="G49" s="120">
        <v>100</v>
      </c>
      <c r="H49" s="89">
        <v>2088.8605</v>
      </c>
      <c r="I49" s="89">
        <v>623.8851</v>
      </c>
      <c r="J49" s="63">
        <v>0.005</v>
      </c>
      <c r="K49" s="120">
        <v>0.12</v>
      </c>
    </row>
    <row r="50" spans="1:11" ht="12.75" customHeight="1">
      <c r="A50" s="85" t="s">
        <v>2438</v>
      </c>
      <c r="B50" s="86" t="s">
        <v>2439</v>
      </c>
      <c r="C50" s="87" t="str">
        <f t="shared" si="0"/>
        <v>3 miesiące od dnia zakupu</v>
      </c>
      <c r="D50" s="87">
        <v>44470</v>
      </c>
      <c r="E50" s="87">
        <v>44500</v>
      </c>
      <c r="F50" s="88">
        <v>100</v>
      </c>
      <c r="G50" s="120">
        <v>100</v>
      </c>
      <c r="H50" s="89">
        <v>1942.1995</v>
      </c>
      <c r="I50" s="89">
        <v>533.4397</v>
      </c>
      <c r="J50" s="63">
        <v>0.005</v>
      </c>
      <c r="K50" s="120">
        <v>0.13</v>
      </c>
    </row>
    <row r="51" spans="1:11" ht="12.75" customHeight="1">
      <c r="A51" s="85" t="s">
        <v>2452</v>
      </c>
      <c r="B51" s="86" t="s">
        <v>2459</v>
      </c>
      <c r="C51" s="87" t="str">
        <f t="shared" si="0"/>
        <v>3 miesiące od dnia zakupu</v>
      </c>
      <c r="D51" s="87">
        <v>44501</v>
      </c>
      <c r="E51" s="87">
        <v>44530</v>
      </c>
      <c r="F51" s="88">
        <v>100</v>
      </c>
      <c r="G51" s="120">
        <v>100</v>
      </c>
      <c r="H51" s="89">
        <v>1958.4166</v>
      </c>
      <c r="I51" s="89">
        <v>494.0722</v>
      </c>
      <c r="J51" s="63">
        <v>0.005</v>
      </c>
      <c r="K51" s="120">
        <v>0.13</v>
      </c>
    </row>
    <row r="52" spans="1:11" ht="12.75" customHeight="1">
      <c r="A52" s="90" t="s">
        <v>2466</v>
      </c>
      <c r="B52" s="91" t="s">
        <v>2467</v>
      </c>
      <c r="C52" s="92" t="str">
        <f t="shared" si="0"/>
        <v>3 miesiące od dnia zakupu</v>
      </c>
      <c r="D52" s="92">
        <v>44531</v>
      </c>
      <c r="E52" s="92">
        <v>44561</v>
      </c>
      <c r="F52" s="93">
        <v>100</v>
      </c>
      <c r="G52" s="135">
        <v>100</v>
      </c>
      <c r="H52" s="94">
        <v>1800.2323</v>
      </c>
      <c r="I52" s="94">
        <v>490.9932</v>
      </c>
      <c r="J52" s="65">
        <v>0.005</v>
      </c>
      <c r="K52" s="135">
        <v>0.12</v>
      </c>
    </row>
    <row r="53" spans="1:11" ht="12.75" customHeight="1">
      <c r="A53" s="113" t="s">
        <v>2480</v>
      </c>
      <c r="B53" s="114" t="s">
        <v>2481</v>
      </c>
      <c r="C53" s="136" t="str">
        <f t="shared" si="0"/>
        <v>3 miesiące od dnia zakupu</v>
      </c>
      <c r="D53" s="136">
        <v>44562</v>
      </c>
      <c r="E53" s="136">
        <v>44592</v>
      </c>
      <c r="F53" s="137">
        <v>100</v>
      </c>
      <c r="G53" s="138">
        <v>100</v>
      </c>
      <c r="H53" s="139">
        <v>1315.5617</v>
      </c>
      <c r="I53" s="139">
        <v>263.4149</v>
      </c>
      <c r="J53" s="66">
        <v>0.005</v>
      </c>
      <c r="K53" s="138">
        <v>0.12</v>
      </c>
    </row>
    <row r="54" spans="1:11" ht="12.75" customHeight="1">
      <c r="A54" s="85" t="s">
        <v>2494</v>
      </c>
      <c r="B54" s="86" t="s">
        <v>2495</v>
      </c>
      <c r="C54" s="87" t="str">
        <f t="shared" si="0"/>
        <v>3 miesiące od dnia zakupu</v>
      </c>
      <c r="D54" s="87">
        <v>44593</v>
      </c>
      <c r="E54" s="87">
        <v>44620</v>
      </c>
      <c r="F54" s="88">
        <v>100</v>
      </c>
      <c r="G54" s="120">
        <v>100</v>
      </c>
      <c r="H54" s="89">
        <v>2460.2966</v>
      </c>
      <c r="I54" s="89">
        <v>320.5797</v>
      </c>
      <c r="J54" s="63">
        <v>0.01</v>
      </c>
      <c r="K54" s="120">
        <v>0.24</v>
      </c>
    </row>
    <row r="55" spans="1:11" ht="12.75" customHeight="1">
      <c r="A55" s="85" t="s">
        <v>2509</v>
      </c>
      <c r="B55" s="86" t="s">
        <v>2510</v>
      </c>
      <c r="C55" s="87" t="str">
        <f t="shared" si="0"/>
        <v>3 miesiące od dnia zakupu</v>
      </c>
      <c r="D55" s="87">
        <v>44621</v>
      </c>
      <c r="E55" s="87">
        <v>44651</v>
      </c>
      <c r="F55" s="88">
        <v>100</v>
      </c>
      <c r="G55" s="120">
        <v>100</v>
      </c>
      <c r="H55" s="89">
        <v>1525.2577</v>
      </c>
      <c r="I55" s="89">
        <v>369.1453</v>
      </c>
      <c r="J55" s="63">
        <v>0.01</v>
      </c>
      <c r="K55" s="120">
        <v>0.25</v>
      </c>
    </row>
    <row r="56" spans="1:11" ht="12.75" customHeight="1">
      <c r="A56" s="85" t="s">
        <v>2525</v>
      </c>
      <c r="B56" s="86" t="s">
        <v>2526</v>
      </c>
      <c r="C56" s="87" t="str">
        <f t="shared" si="0"/>
        <v>3 miesiące od dnia zakupu</v>
      </c>
      <c r="D56" s="87">
        <v>44652</v>
      </c>
      <c r="E56" s="87">
        <v>44681</v>
      </c>
      <c r="F56" s="88">
        <v>100</v>
      </c>
      <c r="G56" s="120">
        <v>100</v>
      </c>
      <c r="H56" s="89">
        <v>914.6926</v>
      </c>
      <c r="I56" s="89">
        <v>179.3482</v>
      </c>
      <c r="J56" s="63">
        <v>0.015</v>
      </c>
      <c r="K56" s="120">
        <v>0.37</v>
      </c>
    </row>
    <row r="57" spans="1:11" ht="12.75" customHeight="1">
      <c r="A57" s="85" t="s">
        <v>2539</v>
      </c>
      <c r="B57" s="86" t="s">
        <v>2540</v>
      </c>
      <c r="C57" s="87" t="str">
        <f t="shared" si="0"/>
        <v>3 miesiące od dnia zakupu</v>
      </c>
      <c r="D57" s="87">
        <f>_XLL.NR.SER.DATY(D56,1)</f>
        <v>44682</v>
      </c>
      <c r="E57" s="87">
        <f>_XLL.NR.SER.OST.DN.MIES(D57,0)</f>
        <v>44712</v>
      </c>
      <c r="F57" s="88">
        <v>100</v>
      </c>
      <c r="G57" s="120">
        <v>100</v>
      </c>
      <c r="H57" s="89">
        <v>494.7997</v>
      </c>
      <c r="I57" s="89">
        <v>122.6503</v>
      </c>
      <c r="J57" s="63">
        <v>0.015</v>
      </c>
      <c r="K57" s="120">
        <v>0.38</v>
      </c>
    </row>
    <row r="58" spans="1:11" ht="12.75" customHeight="1">
      <c r="A58" s="85" t="s">
        <v>2616</v>
      </c>
      <c r="B58" s="86" t="s">
        <v>2617</v>
      </c>
      <c r="C58" s="87" t="str">
        <f t="shared" si="0"/>
        <v>3 miesiące od dnia zakupu</v>
      </c>
      <c r="D58" s="87">
        <f>_XLL.NR.SER.DATY(D57,1)</f>
        <v>44713</v>
      </c>
      <c r="E58" s="87">
        <f>_XLL.NR.SER.OST.DN.MIES(D58,0)</f>
        <v>44742</v>
      </c>
      <c r="F58" s="88">
        <v>100</v>
      </c>
      <c r="G58" s="120">
        <v>100</v>
      </c>
      <c r="H58" s="89">
        <v>1012.233</v>
      </c>
      <c r="I58" s="89">
        <v>68.7431</v>
      </c>
      <c r="J58" s="63">
        <v>0.03</v>
      </c>
      <c r="K58" s="120">
        <v>0.76</v>
      </c>
    </row>
    <row r="59" spans="1:11" ht="12.75" customHeight="1">
      <c r="A59" s="85" t="s">
        <v>2630</v>
      </c>
      <c r="B59" s="86" t="s">
        <v>2631</v>
      </c>
      <c r="C59" s="87" t="str">
        <f t="shared" si="0"/>
        <v>3 miesiące od dnia zakupu</v>
      </c>
      <c r="D59" s="87">
        <f>_XLL.NR.SER.DATY(D58,1)</f>
        <v>44743</v>
      </c>
      <c r="E59" s="87">
        <f>_XLL.NR.SER.OST.DN.MIES(D59,0)</f>
        <v>44773</v>
      </c>
      <c r="F59" s="88">
        <v>100</v>
      </c>
      <c r="G59" s="120">
        <v>100</v>
      </c>
      <c r="H59" s="89">
        <v>411.9572</v>
      </c>
      <c r="I59" s="89">
        <v>67.2213</v>
      </c>
      <c r="J59" s="63">
        <v>0.03</v>
      </c>
      <c r="K59" s="120">
        <v>0.76</v>
      </c>
    </row>
    <row r="60" spans="1:11" ht="12.75" customHeight="1">
      <c r="A60" s="85" t="s">
        <v>2649</v>
      </c>
      <c r="B60" s="86" t="s">
        <v>2650</v>
      </c>
      <c r="C60" s="87" t="str">
        <f aca="true" t="shared" si="1" ref="C60:C75">"3"&amp;wykupOTS</f>
        <v>3 miesiące od dnia zakupu</v>
      </c>
      <c r="D60" s="87">
        <v>44774</v>
      </c>
      <c r="E60" s="87">
        <v>44804</v>
      </c>
      <c r="F60" s="88">
        <v>100</v>
      </c>
      <c r="G60" s="120">
        <v>100</v>
      </c>
      <c r="H60" s="89">
        <v>258.8961</v>
      </c>
      <c r="I60" s="89">
        <v>41.4562</v>
      </c>
      <c r="J60" s="63">
        <v>0.03</v>
      </c>
      <c r="K60" s="120">
        <v>0.76</v>
      </c>
    </row>
    <row r="61" spans="1:11" ht="12.75" customHeight="1">
      <c r="A61" s="85" t="s">
        <v>2651</v>
      </c>
      <c r="B61" s="86" t="s">
        <v>2652</v>
      </c>
      <c r="C61" s="87" t="str">
        <f t="shared" si="1"/>
        <v>3 miesiące od dnia zakupu</v>
      </c>
      <c r="D61" s="87">
        <v>44805</v>
      </c>
      <c r="E61" s="87">
        <v>44834</v>
      </c>
      <c r="F61" s="88">
        <v>100</v>
      </c>
      <c r="G61" s="120">
        <v>100</v>
      </c>
      <c r="H61" s="89">
        <v>192.0579</v>
      </c>
      <c r="I61" s="89">
        <v>38.2159</v>
      </c>
      <c r="J61" s="63">
        <v>0.03</v>
      </c>
      <c r="K61" s="120">
        <v>0.75</v>
      </c>
    </row>
    <row r="62" spans="1:11" ht="12.75" customHeight="1">
      <c r="A62" s="85" t="s">
        <v>2653</v>
      </c>
      <c r="B62" s="86" t="s">
        <v>2654</v>
      </c>
      <c r="C62" s="87" t="str">
        <f t="shared" si="1"/>
        <v>3 miesiące od dnia zakupu</v>
      </c>
      <c r="D62" s="87">
        <v>44835</v>
      </c>
      <c r="E62" s="87">
        <v>44865</v>
      </c>
      <c r="F62" s="88">
        <v>100</v>
      </c>
      <c r="G62" s="120">
        <v>100</v>
      </c>
      <c r="H62" s="89">
        <v>111.6099</v>
      </c>
      <c r="I62" s="89">
        <v>27.1808</v>
      </c>
      <c r="J62" s="63">
        <v>0.03</v>
      </c>
      <c r="K62" s="120">
        <v>0.76</v>
      </c>
    </row>
    <row r="63" spans="1:11" ht="12.75" customHeight="1">
      <c r="A63" s="85" t="s">
        <v>2655</v>
      </c>
      <c r="B63" s="86" t="s">
        <v>2656</v>
      </c>
      <c r="C63" s="87" t="str">
        <f t="shared" si="1"/>
        <v>3 miesiące od dnia zakupu</v>
      </c>
      <c r="D63" s="87">
        <v>44866</v>
      </c>
      <c r="E63" s="87">
        <v>44895</v>
      </c>
      <c r="F63" s="88">
        <v>100</v>
      </c>
      <c r="G63" s="120">
        <v>100</v>
      </c>
      <c r="H63" s="89">
        <v>87.7189</v>
      </c>
      <c r="I63" s="89">
        <v>16.4503</v>
      </c>
      <c r="J63" s="63">
        <v>0.03</v>
      </c>
      <c r="K63" s="120">
        <v>0.76</v>
      </c>
    </row>
    <row r="64" spans="1:11" ht="12.75" customHeight="1">
      <c r="A64" s="90" t="s">
        <v>2657</v>
      </c>
      <c r="B64" s="91" t="s">
        <v>2658</v>
      </c>
      <c r="C64" s="92" t="str">
        <f t="shared" si="1"/>
        <v>3 miesiące od dnia zakupu</v>
      </c>
      <c r="D64" s="92">
        <v>44896</v>
      </c>
      <c r="E64" s="92">
        <v>44926</v>
      </c>
      <c r="F64" s="93">
        <v>100</v>
      </c>
      <c r="G64" s="135">
        <v>100</v>
      </c>
      <c r="H64" s="94">
        <v>77.572</v>
      </c>
      <c r="I64" s="94">
        <v>15.3888</v>
      </c>
      <c r="J64" s="65">
        <v>0.03</v>
      </c>
      <c r="K64" s="135">
        <v>0.74</v>
      </c>
    </row>
    <row r="65" spans="1:11" ht="12.75" customHeight="1">
      <c r="A65" s="113" t="s">
        <v>2659</v>
      </c>
      <c r="B65" s="114" t="s">
        <v>2660</v>
      </c>
      <c r="C65" s="136" t="str">
        <f t="shared" si="1"/>
        <v>3 miesiące od dnia zakupu</v>
      </c>
      <c r="D65" s="136">
        <v>44927</v>
      </c>
      <c r="E65" s="136">
        <v>44957</v>
      </c>
      <c r="F65" s="137">
        <v>100</v>
      </c>
      <c r="G65" s="138">
        <v>100</v>
      </c>
      <c r="H65" s="139">
        <v>107.91690000000001</v>
      </c>
      <c r="I65" s="139">
        <v>12.7783</v>
      </c>
      <c r="J65" s="66">
        <v>0.03</v>
      </c>
      <c r="K65" s="138">
        <v>0.74</v>
      </c>
    </row>
    <row r="66" spans="1:11" ht="12.75" customHeight="1">
      <c r="A66" s="85" t="s">
        <v>2661</v>
      </c>
      <c r="B66" s="86" t="s">
        <v>2662</v>
      </c>
      <c r="C66" s="87" t="str">
        <f t="shared" si="1"/>
        <v>3 miesiące od dnia zakupu</v>
      </c>
      <c r="D66" s="87">
        <v>44958</v>
      </c>
      <c r="E66" s="87">
        <v>44985</v>
      </c>
      <c r="F66" s="88">
        <v>100</v>
      </c>
      <c r="G66" s="120">
        <v>100</v>
      </c>
      <c r="H66" s="89">
        <v>81.6904</v>
      </c>
      <c r="I66" s="89">
        <v>11.485899999999999</v>
      </c>
      <c r="J66" s="63">
        <v>0.03</v>
      </c>
      <c r="K66" s="120">
        <v>0.73</v>
      </c>
    </row>
    <row r="67" spans="1:11" ht="12.75" customHeight="1">
      <c r="A67" s="85" t="s">
        <v>2663</v>
      </c>
      <c r="B67" s="86" t="s">
        <v>2664</v>
      </c>
      <c r="C67" s="87" t="str">
        <f t="shared" si="1"/>
        <v>3 miesiące od dnia zakupu</v>
      </c>
      <c r="D67" s="87">
        <v>44986</v>
      </c>
      <c r="E67" s="87">
        <v>45016</v>
      </c>
      <c r="F67" s="88">
        <v>100</v>
      </c>
      <c r="G67" s="120">
        <v>100</v>
      </c>
      <c r="H67" s="89">
        <v>75.1404</v>
      </c>
      <c r="I67" s="89">
        <v>10.5712</v>
      </c>
      <c r="J67" s="63">
        <v>0.03</v>
      </c>
      <c r="K67" s="120">
        <v>0.76</v>
      </c>
    </row>
    <row r="68" spans="1:11" ht="12.75" customHeight="1">
      <c r="A68" s="85" t="s">
        <v>2665</v>
      </c>
      <c r="B68" s="86" t="s">
        <v>2666</v>
      </c>
      <c r="C68" s="87" t="str">
        <f t="shared" si="1"/>
        <v>3 miesiące od dnia zakupu</v>
      </c>
      <c r="D68" s="87">
        <v>45017</v>
      </c>
      <c r="E68" s="87">
        <v>45046</v>
      </c>
      <c r="F68" s="88">
        <v>100</v>
      </c>
      <c r="G68" s="120">
        <v>100</v>
      </c>
      <c r="H68" s="89">
        <v>59.0443</v>
      </c>
      <c r="I68" s="89">
        <v>9.6289</v>
      </c>
      <c r="J68" s="63">
        <v>0.03</v>
      </c>
      <c r="K68" s="120">
        <v>0.75</v>
      </c>
    </row>
    <row r="69" spans="1:11" ht="12.75" customHeight="1">
      <c r="A69" s="85" t="s">
        <v>2667</v>
      </c>
      <c r="B69" s="86" t="s">
        <v>2668</v>
      </c>
      <c r="C69" s="87" t="str">
        <f t="shared" si="1"/>
        <v>3 miesiące od dnia zakupu</v>
      </c>
      <c r="D69" s="87">
        <v>45047</v>
      </c>
      <c r="E69" s="87">
        <v>45077</v>
      </c>
      <c r="F69" s="88">
        <v>100</v>
      </c>
      <c r="G69" s="120">
        <v>100</v>
      </c>
      <c r="H69" s="89">
        <v>50.005700000000004</v>
      </c>
      <c r="I69" s="89">
        <v>7.2426</v>
      </c>
      <c r="J69" s="63">
        <v>0.03</v>
      </c>
      <c r="K69" s="120">
        <v>0.76</v>
      </c>
    </row>
    <row r="70" spans="1:11" ht="12.75" customHeight="1">
      <c r="A70" s="85" t="s">
        <v>2669</v>
      </c>
      <c r="B70" s="86" t="s">
        <v>2670</v>
      </c>
      <c r="C70" s="87" t="str">
        <f t="shared" si="1"/>
        <v>3 miesiące od dnia zakupu</v>
      </c>
      <c r="D70" s="87">
        <v>45078</v>
      </c>
      <c r="E70" s="87">
        <v>45107</v>
      </c>
      <c r="F70" s="88">
        <v>100</v>
      </c>
      <c r="G70" s="120">
        <v>100</v>
      </c>
      <c r="H70" s="89">
        <v>62.3081</v>
      </c>
      <c r="I70" s="89">
        <v>10.607700000000001</v>
      </c>
      <c r="J70" s="63">
        <v>0.03</v>
      </c>
      <c r="K70" s="120">
        <v>0.76</v>
      </c>
    </row>
    <row r="71" spans="1:11" ht="12.75" customHeight="1">
      <c r="A71" s="85" t="s">
        <v>2671</v>
      </c>
      <c r="B71" s="86" t="s">
        <v>2672</v>
      </c>
      <c r="C71" s="87" t="str">
        <f t="shared" si="1"/>
        <v>3 miesiące od dnia zakupu</v>
      </c>
      <c r="D71" s="87">
        <v>45108</v>
      </c>
      <c r="E71" s="87">
        <v>45138</v>
      </c>
      <c r="F71" s="88">
        <v>100</v>
      </c>
      <c r="G71" s="120">
        <v>100</v>
      </c>
      <c r="H71" s="89">
        <v>59.12</v>
      </c>
      <c r="I71" s="89">
        <v>7.0621</v>
      </c>
      <c r="J71" s="63">
        <v>0.03</v>
      </c>
      <c r="K71" s="120">
        <v>0.76</v>
      </c>
    </row>
    <row r="72" spans="1:11" ht="12.75" customHeight="1">
      <c r="A72" s="85" t="s">
        <v>2673</v>
      </c>
      <c r="B72" s="86" t="s">
        <v>2674</v>
      </c>
      <c r="C72" s="87" t="str">
        <f t="shared" si="1"/>
        <v>3 miesiące od dnia zakupu</v>
      </c>
      <c r="D72" s="87">
        <v>45139</v>
      </c>
      <c r="E72" s="87">
        <v>45169</v>
      </c>
      <c r="F72" s="88">
        <v>100</v>
      </c>
      <c r="G72" s="120">
        <v>100</v>
      </c>
      <c r="H72" s="89">
        <v>54.1301</v>
      </c>
      <c r="I72" s="89">
        <v>7.2202</v>
      </c>
      <c r="J72" s="63">
        <v>0.03</v>
      </c>
      <c r="K72" s="120">
        <v>0.76</v>
      </c>
    </row>
    <row r="73" spans="1:11" ht="12.75" customHeight="1">
      <c r="A73" s="85" t="s">
        <v>2675</v>
      </c>
      <c r="B73" s="86" t="s">
        <v>2676</v>
      </c>
      <c r="C73" s="87" t="str">
        <f t="shared" si="1"/>
        <v>3 miesiące od dnia zakupu</v>
      </c>
      <c r="D73" s="87">
        <v>45170</v>
      </c>
      <c r="E73" s="87">
        <v>45199</v>
      </c>
      <c r="F73" s="88">
        <v>100</v>
      </c>
      <c r="G73" s="120">
        <v>100</v>
      </c>
      <c r="H73" s="89">
        <v>61.1094</v>
      </c>
      <c r="I73" s="89">
        <v>8.4524</v>
      </c>
      <c r="J73" s="63">
        <v>0.03</v>
      </c>
      <c r="K73" s="120">
        <v>0.75</v>
      </c>
    </row>
    <row r="74" spans="1:11" ht="12.75" customHeight="1">
      <c r="A74" s="85" t="s">
        <v>2677</v>
      </c>
      <c r="B74" s="86" t="s">
        <v>2678</v>
      </c>
      <c r="C74" s="87" t="str">
        <f t="shared" si="1"/>
        <v>3 miesiące od dnia zakupu</v>
      </c>
      <c r="D74" s="87">
        <v>45200</v>
      </c>
      <c r="E74" s="87">
        <v>45230</v>
      </c>
      <c r="F74" s="88">
        <v>100</v>
      </c>
      <c r="G74" s="120">
        <v>100</v>
      </c>
      <c r="H74" s="89">
        <v>62.6226</v>
      </c>
      <c r="I74" s="89">
        <v>7.2369</v>
      </c>
      <c r="J74" s="63">
        <v>0.03</v>
      </c>
      <c r="K74" s="120">
        <v>0.76</v>
      </c>
    </row>
    <row r="75" spans="1:11" ht="12.75" customHeight="1">
      <c r="A75" s="85" t="s">
        <v>2679</v>
      </c>
      <c r="B75" s="86" t="s">
        <v>2680</v>
      </c>
      <c r="C75" s="87" t="str">
        <f t="shared" si="1"/>
        <v>3 miesiące od dnia zakupu</v>
      </c>
      <c r="D75" s="87">
        <v>45231</v>
      </c>
      <c r="E75" s="87">
        <v>45260</v>
      </c>
      <c r="F75" s="88">
        <v>100</v>
      </c>
      <c r="G75" s="120">
        <v>100</v>
      </c>
      <c r="H75" s="89">
        <v>71.0434</v>
      </c>
      <c r="I75" s="89">
        <v>6.1383</v>
      </c>
      <c r="J75" s="63">
        <v>0.03</v>
      </c>
      <c r="K75" s="120">
        <v>0.76</v>
      </c>
    </row>
    <row r="76" spans="1:11" ht="12.75" customHeight="1">
      <c r="A76" s="90" t="s">
        <v>2903</v>
      </c>
      <c r="B76" s="91" t="s">
        <v>2904</v>
      </c>
      <c r="C76" s="92" t="str">
        <f>"3"&amp;wykupOTS</f>
        <v>3 miesiące od dnia zakupu</v>
      </c>
      <c r="D76" s="92">
        <v>45261</v>
      </c>
      <c r="E76" s="92">
        <v>45291</v>
      </c>
      <c r="F76" s="93">
        <v>100</v>
      </c>
      <c r="G76" s="93">
        <v>100</v>
      </c>
      <c r="H76" s="94">
        <v>83.7285</v>
      </c>
      <c r="I76" s="94">
        <v>8.9826</v>
      </c>
      <c r="J76" s="65">
        <v>0.03</v>
      </c>
      <c r="K76" s="93">
        <v>0.75</v>
      </c>
    </row>
    <row r="77" spans="1:11" s="7" customFormat="1" ht="12.75" customHeight="1">
      <c r="A77" s="113" t="s">
        <v>2919</v>
      </c>
      <c r="B77" s="114" t="s">
        <v>2920</v>
      </c>
      <c r="C77" s="136" t="str">
        <f>"3"&amp;wykupOTS</f>
        <v>3 miesiące od dnia zakupu</v>
      </c>
      <c r="D77" s="136">
        <f>_XLL.NR.SER.DATY(D76,1)</f>
        <v>45292</v>
      </c>
      <c r="E77" s="136">
        <f>_XLL.NR.SER.OST.DN.MIES(D77,0)</f>
        <v>45322</v>
      </c>
      <c r="F77" s="137">
        <v>100</v>
      </c>
      <c r="G77" s="138">
        <v>100</v>
      </c>
      <c r="H77" s="139">
        <v>107.324</v>
      </c>
      <c r="I77" s="139">
        <v>7.0385</v>
      </c>
      <c r="J77" s="66">
        <v>0.03</v>
      </c>
      <c r="K77" s="138">
        <v>0.75</v>
      </c>
    </row>
    <row r="78" spans="1:11" s="7" customFormat="1" ht="12.75" customHeight="1">
      <c r="A78" s="85" t="s">
        <v>2935</v>
      </c>
      <c r="B78" s="86" t="s">
        <v>2936</v>
      </c>
      <c r="C78" s="87" t="str">
        <f>"3"&amp;wykupOTS</f>
        <v>3 miesiące od dnia zakupu</v>
      </c>
      <c r="D78" s="87">
        <f>_XLL.NR.SER.DATY(D77,1)</f>
        <v>45323</v>
      </c>
      <c r="E78" s="87">
        <f>_XLL.NR.SER.OST.DN.MIES(D78,0)-1</f>
        <v>45350</v>
      </c>
      <c r="F78" s="88">
        <v>100</v>
      </c>
      <c r="G78" s="120">
        <v>100</v>
      </c>
      <c r="H78" s="89">
        <v>81.3805</v>
      </c>
      <c r="I78" s="89">
        <v>6.5014</v>
      </c>
      <c r="J78" s="63">
        <v>0.03</v>
      </c>
      <c r="K78" s="120">
        <v>0.74</v>
      </c>
    </row>
    <row r="79" spans="1:11" s="7" customFormat="1" ht="12.75" customHeight="1">
      <c r="A79" s="85" t="s">
        <v>2951</v>
      </c>
      <c r="B79" s="86" t="s">
        <v>2952</v>
      </c>
      <c r="C79" s="87" t="str">
        <f>"3"&amp;wykupOTS</f>
        <v>3 miesiące od dnia zakupu</v>
      </c>
      <c r="D79" s="87">
        <f>_XLL.NR.SER.DATY(D78,1)</f>
        <v>45352</v>
      </c>
      <c r="E79" s="87">
        <f>_XLL.NR.SER.OST.DN.MIES(D79,0)</f>
        <v>45382</v>
      </c>
      <c r="F79" s="88">
        <v>100</v>
      </c>
      <c r="G79" s="120">
        <v>100</v>
      </c>
      <c r="H79" s="89">
        <v>97.7944</v>
      </c>
      <c r="I79" s="89">
        <v>8.918</v>
      </c>
      <c r="J79" s="63">
        <v>0.03</v>
      </c>
      <c r="K79" s="120">
        <v>0.76</v>
      </c>
    </row>
    <row r="80" spans="1:11" ht="12.75" customHeight="1">
      <c r="A80" s="90" t="s">
        <v>2967</v>
      </c>
      <c r="B80" s="91" t="s">
        <v>2968</v>
      </c>
      <c r="C80" s="92" t="str">
        <f>"3"&amp;wykupOTS</f>
        <v>3 miesiące od dnia zakupu</v>
      </c>
      <c r="D80" s="92">
        <f>_XLL.NR.SER.DATY(D79,1)</f>
        <v>45383</v>
      </c>
      <c r="E80" s="92">
        <f>_XLL.NR.SER.OST.DN.MIES(D80,0)</f>
        <v>45412</v>
      </c>
      <c r="F80" s="93">
        <v>100</v>
      </c>
      <c r="G80" s="93">
        <v>100</v>
      </c>
      <c r="H80" s="94"/>
      <c r="I80" s="94"/>
      <c r="J80" s="65">
        <v>0.03</v>
      </c>
      <c r="K80" s="93">
        <v>0.75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E7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3"/>
  <dimension ref="A1:AH25"/>
  <sheetViews>
    <sheetView zoomScale="115" zoomScaleNormal="115" zoomScalePageLayoutView="0" workbookViewId="0" topLeftCell="A1">
      <pane xSplit="2" ySplit="2" topLeftCell="C2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6" sqref="A26"/>
    </sheetView>
  </sheetViews>
  <sheetFormatPr defaultColWidth="0" defaultRowHeight="12.75"/>
  <cols>
    <col min="1" max="1" width="10.875" style="13" customWidth="1"/>
    <col min="2" max="2" width="16.50390625" style="13" customWidth="1"/>
    <col min="3" max="3" width="30.875" style="13" customWidth="1"/>
    <col min="4" max="4" width="17.625" style="13" customWidth="1"/>
    <col min="5" max="5" width="11.875" style="13" bestFit="1" customWidth="1"/>
    <col min="6" max="6" width="12.50390625" style="13" bestFit="1" customWidth="1"/>
    <col min="7" max="7" width="18.00390625" style="13" bestFit="1" customWidth="1"/>
    <col min="8" max="8" width="11.50390625" style="18" bestFit="1" customWidth="1"/>
    <col min="9" max="9" width="15.875" style="18" customWidth="1"/>
    <col min="10" max="10" width="8.875" style="13" customWidth="1"/>
    <col min="11" max="16" width="8.875" style="34" customWidth="1"/>
    <col min="17" max="17" width="10.375" style="34" customWidth="1"/>
    <col min="18" max="33" width="8.875" style="34" customWidth="1"/>
    <col min="34" max="34" width="13.875" style="140" customWidth="1"/>
    <col min="35" max="16384" width="15.50390625" style="0" hidden="1" customWidth="1"/>
  </cols>
  <sheetData>
    <row r="1" spans="1:34" ht="13.5" customHeight="1">
      <c r="A1" s="347" t="str">
        <f>Seria</f>
        <v>Seria</v>
      </c>
      <c r="B1" s="347" t="str">
        <f>ISIN</f>
        <v>Kod ISIN</v>
      </c>
      <c r="C1" s="348" t="str">
        <f>Wykup</f>
        <v>Data wykupu</v>
      </c>
      <c r="D1" s="348" t="str">
        <f>PoczatekSprzedazy</f>
        <v>Początek sprzedaży</v>
      </c>
      <c r="E1" s="348" t="str">
        <f>KoniecSprzedazy</f>
        <v>Koniec sprzedaży</v>
      </c>
      <c r="F1" s="348" t="str">
        <f>CenaEmisyjna</f>
        <v>Cena emisyjna</v>
      </c>
      <c r="G1" s="348" t="str">
        <f>switch_price</f>
        <v>Cena zamiany</v>
      </c>
      <c r="H1" s="349" t="str">
        <f>Sprzedaz&amp;" 
(mln zł)"</f>
        <v>Sprzedaż łączna 
(mln zł)</v>
      </c>
      <c r="I1" s="349" t="str">
        <f>switch&amp;" (mln zł)"</f>
        <v>w tym zamiana (mln zł)</v>
      </c>
      <c r="J1" s="350" t="str">
        <f>Oprocentowanie</f>
        <v>Oprocentowanie</v>
      </c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 t="str">
        <f>Odsetki&amp;" (zł)"</f>
        <v>Odsetki (zł)</v>
      </c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 t="str">
        <f>Marża</f>
        <v>Marża</v>
      </c>
    </row>
    <row r="2" spans="1:34" ht="27" customHeight="1">
      <c r="A2" s="347"/>
      <c r="B2" s="347"/>
      <c r="C2" s="348"/>
      <c r="D2" s="348"/>
      <c r="E2" s="348"/>
      <c r="F2" s="348"/>
      <c r="G2" s="348"/>
      <c r="H2" s="349"/>
      <c r="I2" s="349"/>
      <c r="J2" s="84" t="str">
        <f>pierwszy_okres</f>
        <v>w 1. okresie</v>
      </c>
      <c r="K2" s="84" t="str">
        <f>drugi_okres</f>
        <v>w 2. okresie</v>
      </c>
      <c r="L2" s="84" t="str">
        <f>trzeci_okres</f>
        <v>w 3. okresie</v>
      </c>
      <c r="M2" s="84" t="str">
        <f>czwarty_okres</f>
        <v>w 4. okresie</v>
      </c>
      <c r="N2" s="84" t="str">
        <f>piąty_okres</f>
        <v>w 5. okresie</v>
      </c>
      <c r="O2" s="84" t="str">
        <f>szósty_okres</f>
        <v>w 6. okresie</v>
      </c>
      <c r="P2" s="84" t="str">
        <f>siódmy_okres</f>
        <v>w 7. okresie</v>
      </c>
      <c r="Q2" s="84" t="str">
        <f>ósmy_okres</f>
        <v>w 8. okresie</v>
      </c>
      <c r="R2" s="84" t="str">
        <f>dziewiąty_okres</f>
        <v>w 9. okresie</v>
      </c>
      <c r="S2" s="84" t="str">
        <f>dziesiąty_okres</f>
        <v>w 10. okresie</v>
      </c>
      <c r="T2" s="84" t="str">
        <f>jedenasty_okres</f>
        <v>w 11. okresie</v>
      </c>
      <c r="U2" s="84" t="str">
        <f>dwunasty_okres</f>
        <v>w 12. okresie</v>
      </c>
      <c r="V2" s="84" t="str">
        <f>pierwszy_okres</f>
        <v>w 1. okresie</v>
      </c>
      <c r="W2" s="84" t="str">
        <f>drugi_okres</f>
        <v>w 2. okresie</v>
      </c>
      <c r="X2" s="84" t="str">
        <f>trzeci_okres</f>
        <v>w 3. okresie</v>
      </c>
      <c r="Y2" s="84" t="str">
        <f>czwarty_okres</f>
        <v>w 4. okresie</v>
      </c>
      <c r="Z2" s="84" t="str">
        <f>piąty_okres</f>
        <v>w 5. okresie</v>
      </c>
      <c r="AA2" s="84" t="str">
        <f>szósty_okres</f>
        <v>w 6. okresie</v>
      </c>
      <c r="AB2" s="84" t="str">
        <f>siódmy_okres</f>
        <v>w 7. okresie</v>
      </c>
      <c r="AC2" s="84" t="str">
        <f>ósmy_okres</f>
        <v>w 8. okresie</v>
      </c>
      <c r="AD2" s="84" t="str">
        <f>dziewiąty_okres</f>
        <v>w 9. okresie</v>
      </c>
      <c r="AE2" s="84" t="str">
        <f>dziesiąty_okres</f>
        <v>w 10. okresie</v>
      </c>
      <c r="AF2" s="84" t="str">
        <f>jedenasty_okres</f>
        <v>w 11. okresie</v>
      </c>
      <c r="AG2" s="84" t="str">
        <f>dwunasty_okres</f>
        <v>w 12. okresie</v>
      </c>
      <c r="AH2" s="350"/>
    </row>
    <row r="3" spans="1:34" s="25" customFormat="1" ht="12.75">
      <c r="A3" s="113" t="s">
        <v>2553</v>
      </c>
      <c r="B3" s="114" t="s">
        <v>2618</v>
      </c>
      <c r="C3" s="151" t="str">
        <f>"1"&amp;wykupROR</f>
        <v>1 rok od dnia zakupu</v>
      </c>
      <c r="D3" s="115">
        <v>44713</v>
      </c>
      <c r="E3" s="115">
        <v>44742</v>
      </c>
      <c r="F3" s="116">
        <v>100</v>
      </c>
      <c r="G3" s="117">
        <v>99.9</v>
      </c>
      <c r="H3" s="152">
        <v>5684.4758</v>
      </c>
      <c r="I3" s="152">
        <v>127.8835</v>
      </c>
      <c r="J3" s="48">
        <f>$AH3+5.25%</f>
        <v>0.0525</v>
      </c>
      <c r="K3" s="153">
        <f>$AH3+6%</f>
        <v>0.06</v>
      </c>
      <c r="L3" s="153">
        <f>$AH3+6.5%</f>
        <v>0.065</v>
      </c>
      <c r="M3" s="153">
        <f>$AH3+6.5%</f>
        <v>0.065</v>
      </c>
      <c r="N3" s="155">
        <f aca="true" t="shared" si="0" ref="N3:U3">$AH3+6.75%</f>
        <v>0.0675</v>
      </c>
      <c r="O3" s="143">
        <f t="shared" si="0"/>
        <v>0.0675</v>
      </c>
      <c r="P3" s="156">
        <f t="shared" si="0"/>
        <v>0.0675</v>
      </c>
      <c r="Q3" s="156">
        <f t="shared" si="0"/>
        <v>0.0675</v>
      </c>
      <c r="R3" s="156">
        <f t="shared" si="0"/>
        <v>0.0675</v>
      </c>
      <c r="S3" s="156">
        <f t="shared" si="0"/>
        <v>0.0675</v>
      </c>
      <c r="T3" s="153">
        <f t="shared" si="0"/>
        <v>0.0675</v>
      </c>
      <c r="U3" s="153">
        <f t="shared" si="0"/>
        <v>0.0675</v>
      </c>
      <c r="V3" s="154">
        <v>0.44</v>
      </c>
      <c r="W3" s="154">
        <v>0.5</v>
      </c>
      <c r="X3" s="154">
        <v>0.54</v>
      </c>
      <c r="Y3" s="154">
        <v>0.54</v>
      </c>
      <c r="Z3" s="157">
        <v>0.56</v>
      </c>
      <c r="AA3" s="144">
        <v>0.56</v>
      </c>
      <c r="AB3" s="158">
        <v>0.56</v>
      </c>
      <c r="AC3" s="158">
        <v>0.56</v>
      </c>
      <c r="AD3" s="158">
        <v>0.56</v>
      </c>
      <c r="AE3" s="158">
        <v>0.56</v>
      </c>
      <c r="AF3" s="154">
        <v>0.56</v>
      </c>
      <c r="AG3" s="154">
        <v>0.56</v>
      </c>
      <c r="AH3" s="40">
        <v>0</v>
      </c>
    </row>
    <row r="4" spans="1:34" s="25" customFormat="1" ht="12.75">
      <c r="A4" s="85" t="s">
        <v>2632</v>
      </c>
      <c r="B4" s="86" t="s">
        <v>2633</v>
      </c>
      <c r="C4" s="141" t="str">
        <f aca="true" t="shared" si="1" ref="C4:C20">"1"&amp;wykupROR</f>
        <v>1 rok od dnia zakupu</v>
      </c>
      <c r="D4" s="87">
        <v>44743</v>
      </c>
      <c r="E4" s="87">
        <v>44773</v>
      </c>
      <c r="F4" s="88">
        <v>100</v>
      </c>
      <c r="G4" s="88">
        <v>99.9</v>
      </c>
      <c r="H4" s="142">
        <v>3422.6381</v>
      </c>
      <c r="I4" s="142">
        <v>130.7118</v>
      </c>
      <c r="J4" s="143">
        <v>0.06</v>
      </c>
      <c r="K4" s="143">
        <f>$AH4+6.5%</f>
        <v>0.065</v>
      </c>
      <c r="L4" s="143">
        <f>$AH4+6.5%</f>
        <v>0.065</v>
      </c>
      <c r="M4" s="143">
        <f aca="true" t="shared" si="2" ref="M4:R4">$AH4+6.75%</f>
        <v>0.0675</v>
      </c>
      <c r="N4" s="143">
        <f t="shared" si="2"/>
        <v>0.0675</v>
      </c>
      <c r="O4" s="143">
        <f t="shared" si="2"/>
        <v>0.0675</v>
      </c>
      <c r="P4" s="143">
        <f t="shared" si="2"/>
        <v>0.0675</v>
      </c>
      <c r="Q4" s="143">
        <f t="shared" si="2"/>
        <v>0.0675</v>
      </c>
      <c r="R4" s="143">
        <f t="shared" si="2"/>
        <v>0.0675</v>
      </c>
      <c r="S4" s="143">
        <f aca="true" t="shared" si="3" ref="S4:U7">$AH4+6.75%</f>
        <v>0.0675</v>
      </c>
      <c r="T4" s="143">
        <f t="shared" si="3"/>
        <v>0.0675</v>
      </c>
      <c r="U4" s="143">
        <f t="shared" si="3"/>
        <v>0.0675</v>
      </c>
      <c r="V4" s="144">
        <v>0.5</v>
      </c>
      <c r="W4" s="144">
        <v>0.54</v>
      </c>
      <c r="X4" s="144">
        <v>0.54</v>
      </c>
      <c r="Y4" s="144">
        <v>0.56</v>
      </c>
      <c r="Z4" s="144">
        <v>0.56</v>
      </c>
      <c r="AA4" s="144">
        <v>0.56</v>
      </c>
      <c r="AB4" s="144">
        <v>0.56</v>
      </c>
      <c r="AC4" s="144">
        <v>0.56</v>
      </c>
      <c r="AD4" s="144">
        <v>0.56</v>
      </c>
      <c r="AE4" s="144">
        <v>0.56</v>
      </c>
      <c r="AF4" s="144">
        <v>0.56</v>
      </c>
      <c r="AG4" s="144">
        <v>0.56</v>
      </c>
      <c r="AH4" s="346">
        <v>0</v>
      </c>
    </row>
    <row r="5" spans="1:34" ht="12.75">
      <c r="A5" s="85" t="s">
        <v>2743</v>
      </c>
      <c r="B5" s="86" t="s">
        <v>2744</v>
      </c>
      <c r="C5" s="141" t="str">
        <f t="shared" si="1"/>
        <v>1 rok od dnia zakupu</v>
      </c>
      <c r="D5" s="87">
        <v>44774</v>
      </c>
      <c r="E5" s="87">
        <v>44804</v>
      </c>
      <c r="F5" s="88">
        <v>100</v>
      </c>
      <c r="G5" s="88">
        <v>99.9</v>
      </c>
      <c r="H5" s="142">
        <v>1707.1691</v>
      </c>
      <c r="I5" s="142">
        <v>74.4334</v>
      </c>
      <c r="J5" s="143">
        <v>0.065</v>
      </c>
      <c r="K5" s="143">
        <f>$AH5+6.5%</f>
        <v>0.065</v>
      </c>
      <c r="L5" s="143">
        <f aca="true" t="shared" si="4" ref="L5:Q5">$AH5+6.75%</f>
        <v>0.0675</v>
      </c>
      <c r="M5" s="143">
        <f t="shared" si="4"/>
        <v>0.0675</v>
      </c>
      <c r="N5" s="143">
        <f t="shared" si="4"/>
        <v>0.0675</v>
      </c>
      <c r="O5" s="143">
        <f t="shared" si="4"/>
        <v>0.0675</v>
      </c>
      <c r="P5" s="143">
        <f t="shared" si="4"/>
        <v>0.0675</v>
      </c>
      <c r="Q5" s="143">
        <f t="shared" si="4"/>
        <v>0.0675</v>
      </c>
      <c r="R5" s="143">
        <f>$AH5+6.75%</f>
        <v>0.0675</v>
      </c>
      <c r="S5" s="143">
        <f t="shared" si="3"/>
        <v>0.0675</v>
      </c>
      <c r="T5" s="143">
        <f t="shared" si="3"/>
        <v>0.0675</v>
      </c>
      <c r="U5" s="143">
        <f t="shared" si="3"/>
        <v>0.0675</v>
      </c>
      <c r="V5" s="144">
        <v>0.54</v>
      </c>
      <c r="W5" s="144">
        <v>0.54</v>
      </c>
      <c r="X5" s="144">
        <v>0.56</v>
      </c>
      <c r="Y5" s="144">
        <v>0.56</v>
      </c>
      <c r="Z5" s="144">
        <v>0.56</v>
      </c>
      <c r="AA5" s="144">
        <v>0.56</v>
      </c>
      <c r="AB5" s="144">
        <v>0.56</v>
      </c>
      <c r="AC5" s="144">
        <v>0.56</v>
      </c>
      <c r="AD5" s="144">
        <v>0.56</v>
      </c>
      <c r="AE5" s="144">
        <v>0.56</v>
      </c>
      <c r="AF5" s="144">
        <v>0.56</v>
      </c>
      <c r="AG5" s="144">
        <v>0.56</v>
      </c>
      <c r="AH5" s="145">
        <v>0</v>
      </c>
    </row>
    <row r="6" spans="1:34" ht="12.75">
      <c r="A6" s="85" t="s">
        <v>2745</v>
      </c>
      <c r="B6" s="86" t="s">
        <v>2746</v>
      </c>
      <c r="C6" s="141" t="str">
        <f t="shared" si="1"/>
        <v>1 rok od dnia zakupu</v>
      </c>
      <c r="D6" s="87">
        <v>44805</v>
      </c>
      <c r="E6" s="87">
        <v>44834</v>
      </c>
      <c r="F6" s="88">
        <v>100</v>
      </c>
      <c r="G6" s="88">
        <v>99.9</v>
      </c>
      <c r="H6" s="142">
        <v>620.4756</v>
      </c>
      <c r="I6" s="142">
        <v>59.0196</v>
      </c>
      <c r="J6" s="143">
        <v>0.065</v>
      </c>
      <c r="K6" s="143">
        <f aca="true" t="shared" si="5" ref="K6:S13">$AH6+6.75%</f>
        <v>0.0675</v>
      </c>
      <c r="L6" s="143">
        <f t="shared" si="5"/>
        <v>0.0675</v>
      </c>
      <c r="M6" s="143">
        <f t="shared" si="5"/>
        <v>0.0675</v>
      </c>
      <c r="N6" s="143">
        <f t="shared" si="5"/>
        <v>0.0675</v>
      </c>
      <c r="O6" s="143">
        <f t="shared" si="5"/>
        <v>0.0675</v>
      </c>
      <c r="P6" s="143">
        <f t="shared" si="5"/>
        <v>0.0675</v>
      </c>
      <c r="Q6" s="143">
        <f>$AH6+6.75%</f>
        <v>0.0675</v>
      </c>
      <c r="R6" s="143">
        <f>$AH6+6.75%</f>
        <v>0.0675</v>
      </c>
      <c r="S6" s="143">
        <f t="shared" si="3"/>
        <v>0.0675</v>
      </c>
      <c r="T6" s="143">
        <f t="shared" si="3"/>
        <v>0.0675</v>
      </c>
      <c r="U6" s="143">
        <f t="shared" si="3"/>
        <v>0.0675</v>
      </c>
      <c r="V6" s="144">
        <v>0.54</v>
      </c>
      <c r="W6" s="144">
        <v>0.56</v>
      </c>
      <c r="X6" s="144">
        <v>0.56</v>
      </c>
      <c r="Y6" s="144">
        <v>0.56</v>
      </c>
      <c r="Z6" s="144">
        <v>0.56</v>
      </c>
      <c r="AA6" s="144">
        <v>0.56</v>
      </c>
      <c r="AB6" s="144">
        <v>0.56</v>
      </c>
      <c r="AC6" s="144">
        <v>0.56</v>
      </c>
      <c r="AD6" s="144">
        <v>0.56</v>
      </c>
      <c r="AE6" s="144">
        <v>0.56</v>
      </c>
      <c r="AF6" s="144">
        <v>0.56</v>
      </c>
      <c r="AG6" s="144">
        <v>0.56</v>
      </c>
      <c r="AH6" s="145">
        <v>0</v>
      </c>
    </row>
    <row r="7" spans="1:34" ht="12.75">
      <c r="A7" s="85" t="s">
        <v>2747</v>
      </c>
      <c r="B7" s="86" t="s">
        <v>2748</v>
      </c>
      <c r="C7" s="141" t="str">
        <f t="shared" si="1"/>
        <v>1 rok od dnia zakupu</v>
      </c>
      <c r="D7" s="87">
        <v>44835</v>
      </c>
      <c r="E7" s="87">
        <v>44865</v>
      </c>
      <c r="F7" s="88">
        <v>100</v>
      </c>
      <c r="G7" s="88">
        <v>99.9</v>
      </c>
      <c r="H7" s="142">
        <v>443.3755</v>
      </c>
      <c r="I7" s="142">
        <v>42.7746</v>
      </c>
      <c r="J7" s="143">
        <v>0.0675</v>
      </c>
      <c r="K7" s="143">
        <f t="shared" si="5"/>
        <v>0.0675</v>
      </c>
      <c r="L7" s="143">
        <f t="shared" si="5"/>
        <v>0.0675</v>
      </c>
      <c r="M7" s="143">
        <f t="shared" si="5"/>
        <v>0.0675</v>
      </c>
      <c r="N7" s="143">
        <f t="shared" si="5"/>
        <v>0.0675</v>
      </c>
      <c r="O7" s="143">
        <f t="shared" si="5"/>
        <v>0.0675</v>
      </c>
      <c r="P7" s="143">
        <f t="shared" si="5"/>
        <v>0.0675</v>
      </c>
      <c r="Q7" s="143">
        <f t="shared" si="5"/>
        <v>0.0675</v>
      </c>
      <c r="R7" s="143">
        <f>$AH7+6.75%</f>
        <v>0.0675</v>
      </c>
      <c r="S7" s="143">
        <f t="shared" si="3"/>
        <v>0.0675</v>
      </c>
      <c r="T7" s="143">
        <f t="shared" si="3"/>
        <v>0.0675</v>
      </c>
      <c r="U7" s="143">
        <f t="shared" si="3"/>
        <v>0.0675</v>
      </c>
      <c r="V7" s="144">
        <v>0.56</v>
      </c>
      <c r="W7" s="144">
        <v>0.56</v>
      </c>
      <c r="X7" s="144">
        <v>0.56</v>
      </c>
      <c r="Y7" s="144">
        <v>0.56</v>
      </c>
      <c r="Z7" s="144">
        <v>0.56</v>
      </c>
      <c r="AA7" s="144">
        <v>0.56</v>
      </c>
      <c r="AB7" s="144">
        <v>0.56</v>
      </c>
      <c r="AC7" s="144">
        <v>0.56</v>
      </c>
      <c r="AD7" s="144">
        <v>0.56</v>
      </c>
      <c r="AE7" s="144">
        <v>0.56</v>
      </c>
      <c r="AF7" s="144">
        <v>0.56</v>
      </c>
      <c r="AG7" s="144">
        <v>0.56</v>
      </c>
      <c r="AH7" s="145">
        <v>0</v>
      </c>
    </row>
    <row r="8" spans="1:34" ht="12.75">
      <c r="A8" s="85" t="s">
        <v>2749</v>
      </c>
      <c r="B8" s="86" t="s">
        <v>2750</v>
      </c>
      <c r="C8" s="141" t="str">
        <f t="shared" si="1"/>
        <v>1 rok od dnia zakupu</v>
      </c>
      <c r="D8" s="87">
        <v>44866</v>
      </c>
      <c r="E8" s="87">
        <v>44895</v>
      </c>
      <c r="F8" s="88">
        <v>100</v>
      </c>
      <c r="G8" s="88">
        <v>99.9</v>
      </c>
      <c r="H8" s="142">
        <v>264.5626</v>
      </c>
      <c r="I8" s="142">
        <v>27.7354</v>
      </c>
      <c r="J8" s="143">
        <v>0.0675</v>
      </c>
      <c r="K8" s="143">
        <f t="shared" si="5"/>
        <v>0.0675</v>
      </c>
      <c r="L8" s="143">
        <f t="shared" si="5"/>
        <v>0.0675</v>
      </c>
      <c r="M8" s="143">
        <f t="shared" si="5"/>
        <v>0.0675</v>
      </c>
      <c r="N8" s="143">
        <f t="shared" si="5"/>
        <v>0.0675</v>
      </c>
      <c r="O8" s="143">
        <f t="shared" si="5"/>
        <v>0.0675</v>
      </c>
      <c r="P8" s="143">
        <f t="shared" si="5"/>
        <v>0.0675</v>
      </c>
      <c r="Q8" s="143">
        <f t="shared" si="5"/>
        <v>0.0675</v>
      </c>
      <c r="R8" s="143">
        <f>$AH8+6.75%</f>
        <v>0.0675</v>
      </c>
      <c r="S8" s="143">
        <f>$AH8+6.75%</f>
        <v>0.0675</v>
      </c>
      <c r="T8" s="143">
        <f>$AH8+6.75%</f>
        <v>0.0675</v>
      </c>
      <c r="U8" s="143">
        <f>$AH8+6%</f>
        <v>0.06</v>
      </c>
      <c r="V8" s="144">
        <v>0.56</v>
      </c>
      <c r="W8" s="144">
        <v>0.56</v>
      </c>
      <c r="X8" s="144">
        <v>0.56</v>
      </c>
      <c r="Y8" s="144">
        <v>0.56</v>
      </c>
      <c r="Z8" s="144">
        <v>0.56</v>
      </c>
      <c r="AA8" s="144">
        <v>0.56</v>
      </c>
      <c r="AB8" s="144">
        <v>0.56</v>
      </c>
      <c r="AC8" s="144">
        <v>0.56</v>
      </c>
      <c r="AD8" s="144">
        <v>0.56</v>
      </c>
      <c r="AE8" s="144">
        <v>0.56</v>
      </c>
      <c r="AF8" s="144">
        <v>0.56</v>
      </c>
      <c r="AG8" s="144">
        <v>0.5</v>
      </c>
      <c r="AH8" s="145">
        <v>0</v>
      </c>
    </row>
    <row r="9" spans="1:34" s="25" customFormat="1" ht="12.75">
      <c r="A9" s="90" t="s">
        <v>2751</v>
      </c>
      <c r="B9" s="91" t="s">
        <v>2752</v>
      </c>
      <c r="C9" s="146" t="str">
        <f t="shared" si="1"/>
        <v>1 rok od dnia zakupu</v>
      </c>
      <c r="D9" s="92">
        <v>44896</v>
      </c>
      <c r="E9" s="92">
        <v>44926</v>
      </c>
      <c r="F9" s="93">
        <v>100</v>
      </c>
      <c r="G9" s="93">
        <v>99.9</v>
      </c>
      <c r="H9" s="147">
        <v>215.2819</v>
      </c>
      <c r="I9" s="147">
        <v>17.5122</v>
      </c>
      <c r="J9" s="148">
        <v>0.0675</v>
      </c>
      <c r="K9" s="148">
        <f t="shared" si="5"/>
        <v>0.0675</v>
      </c>
      <c r="L9" s="148">
        <f t="shared" si="5"/>
        <v>0.0675</v>
      </c>
      <c r="M9" s="148">
        <f t="shared" si="5"/>
        <v>0.0675</v>
      </c>
      <c r="N9" s="148">
        <f t="shared" si="5"/>
        <v>0.0675</v>
      </c>
      <c r="O9" s="148">
        <f t="shared" si="5"/>
        <v>0.0675</v>
      </c>
      <c r="P9" s="148">
        <f t="shared" si="5"/>
        <v>0.0675</v>
      </c>
      <c r="Q9" s="148">
        <f t="shared" si="5"/>
        <v>0.0675</v>
      </c>
      <c r="R9" s="148">
        <f t="shared" si="5"/>
        <v>0.0675</v>
      </c>
      <c r="S9" s="148">
        <f t="shared" si="5"/>
        <v>0.0675</v>
      </c>
      <c r="T9" s="148">
        <f>$AH9+6%</f>
        <v>0.06</v>
      </c>
      <c r="U9" s="148">
        <f aca="true" t="shared" si="6" ref="U9:U14">$AH9+5.75%</f>
        <v>0.0575</v>
      </c>
      <c r="V9" s="149">
        <v>0.56</v>
      </c>
      <c r="W9" s="149">
        <v>0.56</v>
      </c>
      <c r="X9" s="149">
        <v>0.56</v>
      </c>
      <c r="Y9" s="149">
        <v>0.56</v>
      </c>
      <c r="Z9" s="149">
        <v>0.56</v>
      </c>
      <c r="AA9" s="149">
        <v>0.56</v>
      </c>
      <c r="AB9" s="149">
        <v>0.56</v>
      </c>
      <c r="AC9" s="149">
        <v>0.56</v>
      </c>
      <c r="AD9" s="149">
        <v>0.56</v>
      </c>
      <c r="AE9" s="149">
        <v>0.56</v>
      </c>
      <c r="AF9" s="149">
        <v>0.5</v>
      </c>
      <c r="AG9" s="149">
        <v>0.48</v>
      </c>
      <c r="AH9" s="150">
        <v>0</v>
      </c>
    </row>
    <row r="10" spans="1:34" ht="12.75">
      <c r="A10" s="85" t="s">
        <v>2753</v>
      </c>
      <c r="B10" s="86" t="s">
        <v>2754</v>
      </c>
      <c r="C10" s="141" t="str">
        <f t="shared" si="1"/>
        <v>1 rok od dnia zakupu</v>
      </c>
      <c r="D10" s="87">
        <v>44927</v>
      </c>
      <c r="E10" s="87">
        <v>44957</v>
      </c>
      <c r="F10" s="88">
        <v>100</v>
      </c>
      <c r="G10" s="88">
        <v>99.9</v>
      </c>
      <c r="H10" s="142">
        <v>297.46139999999997</v>
      </c>
      <c r="I10" s="142">
        <v>18.7607</v>
      </c>
      <c r="J10" s="143">
        <v>0.0675</v>
      </c>
      <c r="K10" s="143">
        <f t="shared" si="5"/>
        <v>0.0675</v>
      </c>
      <c r="L10" s="143">
        <f t="shared" si="5"/>
        <v>0.0675</v>
      </c>
      <c r="M10" s="143">
        <f t="shared" si="5"/>
        <v>0.0675</v>
      </c>
      <c r="N10" s="143">
        <f t="shared" si="5"/>
        <v>0.0675</v>
      </c>
      <c r="O10" s="143">
        <f t="shared" si="5"/>
        <v>0.0675</v>
      </c>
      <c r="P10" s="143">
        <f>$AH10+6.75%</f>
        <v>0.0675</v>
      </c>
      <c r="Q10" s="143">
        <f>$AH10+6.75%</f>
        <v>0.0675</v>
      </c>
      <c r="R10" s="143">
        <f>$AH10+6.75%</f>
        <v>0.0675</v>
      </c>
      <c r="S10" s="143">
        <f>$AH10+6%</f>
        <v>0.06</v>
      </c>
      <c r="T10" s="143">
        <f aca="true" t="shared" si="7" ref="T10:T15">$AH10+5.75%</f>
        <v>0.0575</v>
      </c>
      <c r="U10" s="143">
        <f t="shared" si="6"/>
        <v>0.0575</v>
      </c>
      <c r="V10" s="144">
        <v>0.56</v>
      </c>
      <c r="W10" s="144">
        <v>0.56</v>
      </c>
      <c r="X10" s="144">
        <v>0.56</v>
      </c>
      <c r="Y10" s="144">
        <v>0.56</v>
      </c>
      <c r="Z10" s="144">
        <v>0.56</v>
      </c>
      <c r="AA10" s="144">
        <v>0.56</v>
      </c>
      <c r="AB10" s="144">
        <v>0.56</v>
      </c>
      <c r="AC10" s="144">
        <v>0.56</v>
      </c>
      <c r="AD10" s="144">
        <v>0.56</v>
      </c>
      <c r="AE10" s="144">
        <v>0.5</v>
      </c>
      <c r="AF10" s="144">
        <v>0.48</v>
      </c>
      <c r="AG10" s="144">
        <v>0.48</v>
      </c>
      <c r="AH10" s="145">
        <v>0</v>
      </c>
    </row>
    <row r="11" spans="1:34" ht="12.75">
      <c r="A11" s="85" t="s">
        <v>2755</v>
      </c>
      <c r="B11" s="86" t="s">
        <v>2756</v>
      </c>
      <c r="C11" s="141" t="str">
        <f t="shared" si="1"/>
        <v>1 rok od dnia zakupu</v>
      </c>
      <c r="D11" s="87">
        <v>44958</v>
      </c>
      <c r="E11" s="87">
        <v>44985</v>
      </c>
      <c r="F11" s="88">
        <v>100</v>
      </c>
      <c r="G11" s="88">
        <v>99.9</v>
      </c>
      <c r="H11" s="142">
        <v>292.5517</v>
      </c>
      <c r="I11" s="142">
        <v>17.782600000000002</v>
      </c>
      <c r="J11" s="143">
        <v>0.0675</v>
      </c>
      <c r="K11" s="143">
        <f t="shared" si="5"/>
        <v>0.0675</v>
      </c>
      <c r="L11" s="143">
        <f t="shared" si="5"/>
        <v>0.0675</v>
      </c>
      <c r="M11" s="143">
        <f t="shared" si="5"/>
        <v>0.0675</v>
      </c>
      <c r="N11" s="143">
        <f t="shared" si="5"/>
        <v>0.0675</v>
      </c>
      <c r="O11" s="143">
        <f t="shared" si="5"/>
        <v>0.0675</v>
      </c>
      <c r="P11" s="143">
        <f t="shared" si="5"/>
        <v>0.0675</v>
      </c>
      <c r="Q11" s="143">
        <f t="shared" si="5"/>
        <v>0.0675</v>
      </c>
      <c r="R11" s="143">
        <f>$AH11+6%</f>
        <v>0.06</v>
      </c>
      <c r="S11" s="143">
        <f aca="true" t="shared" si="8" ref="S11:S16">$AH11+5.75%</f>
        <v>0.0575</v>
      </c>
      <c r="T11" s="143">
        <f t="shared" si="7"/>
        <v>0.0575</v>
      </c>
      <c r="U11" s="143">
        <f t="shared" si="6"/>
        <v>0.0575</v>
      </c>
      <c r="V11" s="144">
        <v>0.56</v>
      </c>
      <c r="W11" s="144">
        <v>0.56</v>
      </c>
      <c r="X11" s="144">
        <v>0.56</v>
      </c>
      <c r="Y11" s="144">
        <v>0.56</v>
      </c>
      <c r="Z11" s="144">
        <v>0.56</v>
      </c>
      <c r="AA11" s="144">
        <v>0.56</v>
      </c>
      <c r="AB11" s="144">
        <v>0.56</v>
      </c>
      <c r="AC11" s="144">
        <v>0.56</v>
      </c>
      <c r="AD11" s="144">
        <v>0.5</v>
      </c>
      <c r="AE11" s="144">
        <v>0.48</v>
      </c>
      <c r="AF11" s="144">
        <v>0.48</v>
      </c>
      <c r="AG11" s="144">
        <v>0.48</v>
      </c>
      <c r="AH11" s="145">
        <v>0</v>
      </c>
    </row>
    <row r="12" spans="1:34" ht="12.75">
      <c r="A12" s="85" t="s">
        <v>2757</v>
      </c>
      <c r="B12" s="86" t="s">
        <v>2758</v>
      </c>
      <c r="C12" s="141" t="str">
        <f t="shared" si="1"/>
        <v>1 rok od dnia zakupu</v>
      </c>
      <c r="D12" s="87">
        <v>44986</v>
      </c>
      <c r="E12" s="87">
        <v>45016</v>
      </c>
      <c r="F12" s="88">
        <v>100</v>
      </c>
      <c r="G12" s="88">
        <v>99.9</v>
      </c>
      <c r="H12" s="142">
        <v>349.8913</v>
      </c>
      <c r="I12" s="142">
        <v>39.5246</v>
      </c>
      <c r="J12" s="143">
        <v>0.0675</v>
      </c>
      <c r="K12" s="143">
        <f t="shared" si="5"/>
        <v>0.0675</v>
      </c>
      <c r="L12" s="143">
        <f t="shared" si="5"/>
        <v>0.0675</v>
      </c>
      <c r="M12" s="143">
        <f t="shared" si="5"/>
        <v>0.0675</v>
      </c>
      <c r="N12" s="143">
        <f t="shared" si="5"/>
        <v>0.0675</v>
      </c>
      <c r="O12" s="143">
        <f t="shared" si="5"/>
        <v>0.0675</v>
      </c>
      <c r="P12" s="143">
        <f t="shared" si="5"/>
        <v>0.0675</v>
      </c>
      <c r="Q12" s="143">
        <f>$AH12+6%</f>
        <v>0.06</v>
      </c>
      <c r="R12" s="143">
        <f aca="true" t="shared" si="9" ref="R12:R17">$AH12+5.75%</f>
        <v>0.0575</v>
      </c>
      <c r="S12" s="143">
        <f t="shared" si="8"/>
        <v>0.0575</v>
      </c>
      <c r="T12" s="143">
        <f t="shared" si="7"/>
        <v>0.0575</v>
      </c>
      <c r="U12" s="143">
        <f t="shared" si="6"/>
        <v>0.0575</v>
      </c>
      <c r="V12" s="144">
        <v>0.56</v>
      </c>
      <c r="W12" s="144">
        <v>0.56</v>
      </c>
      <c r="X12" s="144">
        <v>0.56</v>
      </c>
      <c r="Y12" s="144">
        <v>0.56</v>
      </c>
      <c r="Z12" s="144">
        <v>0.56</v>
      </c>
      <c r="AA12" s="144">
        <v>0.56</v>
      </c>
      <c r="AB12" s="144">
        <v>0.56</v>
      </c>
      <c r="AC12" s="144">
        <v>0.5</v>
      </c>
      <c r="AD12" s="144">
        <v>0.48</v>
      </c>
      <c r="AE12" s="144">
        <v>0.48</v>
      </c>
      <c r="AF12" s="144">
        <v>0.48</v>
      </c>
      <c r="AG12" s="144">
        <v>0.48</v>
      </c>
      <c r="AH12" s="145">
        <v>0</v>
      </c>
    </row>
    <row r="13" spans="1:34" ht="12.75">
      <c r="A13" s="85" t="s">
        <v>2759</v>
      </c>
      <c r="B13" s="86" t="s">
        <v>2760</v>
      </c>
      <c r="C13" s="141" t="str">
        <f t="shared" si="1"/>
        <v>1 rok od dnia zakupu</v>
      </c>
      <c r="D13" s="87">
        <v>45017</v>
      </c>
      <c r="E13" s="87">
        <v>45046</v>
      </c>
      <c r="F13" s="88">
        <v>100</v>
      </c>
      <c r="G13" s="88">
        <v>99.9</v>
      </c>
      <c r="H13" s="142">
        <v>338.677</v>
      </c>
      <c r="I13" s="142">
        <v>19.295</v>
      </c>
      <c r="J13" s="143">
        <v>0.0675</v>
      </c>
      <c r="K13" s="143">
        <f t="shared" si="5"/>
        <v>0.0675</v>
      </c>
      <c r="L13" s="143">
        <f t="shared" si="5"/>
        <v>0.0675</v>
      </c>
      <c r="M13" s="143">
        <f t="shared" si="5"/>
        <v>0.0675</v>
      </c>
      <c r="N13" s="143">
        <f t="shared" si="5"/>
        <v>0.0675</v>
      </c>
      <c r="O13" s="143">
        <f t="shared" si="5"/>
        <v>0.0675</v>
      </c>
      <c r="P13" s="143">
        <f>$AH13+6%</f>
        <v>0.06</v>
      </c>
      <c r="Q13" s="143">
        <f aca="true" t="shared" si="10" ref="Q13:Q18">$AH13+5.75%</f>
        <v>0.0575</v>
      </c>
      <c r="R13" s="143">
        <f t="shared" si="9"/>
        <v>0.0575</v>
      </c>
      <c r="S13" s="143">
        <f t="shared" si="8"/>
        <v>0.0575</v>
      </c>
      <c r="T13" s="143">
        <f t="shared" si="7"/>
        <v>0.0575</v>
      </c>
      <c r="U13" s="143">
        <f t="shared" si="6"/>
        <v>0.0575</v>
      </c>
      <c r="V13" s="144">
        <v>0.56</v>
      </c>
      <c r="W13" s="144">
        <v>0.56</v>
      </c>
      <c r="X13" s="144">
        <v>0.56</v>
      </c>
      <c r="Y13" s="144">
        <v>0.56</v>
      </c>
      <c r="Z13" s="144">
        <v>0.56</v>
      </c>
      <c r="AA13" s="144">
        <v>0.56</v>
      </c>
      <c r="AB13" s="144">
        <v>0.5</v>
      </c>
      <c r="AC13" s="144">
        <v>0.48</v>
      </c>
      <c r="AD13" s="144">
        <v>0.48</v>
      </c>
      <c r="AE13" s="144">
        <v>0.48</v>
      </c>
      <c r="AF13" s="144">
        <v>0.48</v>
      </c>
      <c r="AG13" s="144">
        <v>0.48</v>
      </c>
      <c r="AH13" s="145">
        <v>0</v>
      </c>
    </row>
    <row r="14" spans="1:34" ht="12.75">
      <c r="A14" s="85" t="s">
        <v>2761</v>
      </c>
      <c r="B14" s="86" t="s">
        <v>2762</v>
      </c>
      <c r="C14" s="141" t="str">
        <f t="shared" si="1"/>
        <v>1 rok od dnia zakupu</v>
      </c>
      <c r="D14" s="87">
        <v>45047</v>
      </c>
      <c r="E14" s="87">
        <v>45077</v>
      </c>
      <c r="F14" s="88">
        <v>100</v>
      </c>
      <c r="G14" s="88">
        <v>99.9</v>
      </c>
      <c r="H14" s="142">
        <v>329.4288</v>
      </c>
      <c r="I14" s="142">
        <v>13.0334</v>
      </c>
      <c r="J14" s="143">
        <v>0.0675</v>
      </c>
      <c r="K14" s="143">
        <f>$AH14+6.75%</f>
        <v>0.0675</v>
      </c>
      <c r="L14" s="143">
        <f>$AH14+6.75%</f>
        <v>0.0675</v>
      </c>
      <c r="M14" s="143">
        <f>$AH14+6.75%</f>
        <v>0.0675</v>
      </c>
      <c r="N14" s="143">
        <f>$AH14+6.75%</f>
        <v>0.0675</v>
      </c>
      <c r="O14" s="143">
        <f>$AH14+6%</f>
        <v>0.06</v>
      </c>
      <c r="P14" s="143">
        <f aca="true" t="shared" si="11" ref="P14:P19">$AH14+5.75%</f>
        <v>0.0575</v>
      </c>
      <c r="Q14" s="143">
        <f t="shared" si="10"/>
        <v>0.0575</v>
      </c>
      <c r="R14" s="143">
        <f t="shared" si="9"/>
        <v>0.0575</v>
      </c>
      <c r="S14" s="143">
        <f t="shared" si="8"/>
        <v>0.0575</v>
      </c>
      <c r="T14" s="143">
        <f t="shared" si="7"/>
        <v>0.0575</v>
      </c>
      <c r="U14" s="143">
        <f t="shared" si="6"/>
        <v>0.0575</v>
      </c>
      <c r="V14" s="144">
        <v>0.56</v>
      </c>
      <c r="W14" s="144">
        <v>0.56</v>
      </c>
      <c r="X14" s="144">
        <v>0.56</v>
      </c>
      <c r="Y14" s="144">
        <v>0.56</v>
      </c>
      <c r="Z14" s="144">
        <v>0.56</v>
      </c>
      <c r="AA14" s="144">
        <v>0.5</v>
      </c>
      <c r="AB14" s="144">
        <v>0.48</v>
      </c>
      <c r="AC14" s="144">
        <v>0.48</v>
      </c>
      <c r="AD14" s="144">
        <v>0.48</v>
      </c>
      <c r="AE14" s="144">
        <v>0.48</v>
      </c>
      <c r="AF14" s="144">
        <v>0.48</v>
      </c>
      <c r="AG14" s="144">
        <v>0.48</v>
      </c>
      <c r="AH14" s="145">
        <v>0</v>
      </c>
    </row>
    <row r="15" spans="1:34" ht="12.75">
      <c r="A15" s="85" t="s">
        <v>2763</v>
      </c>
      <c r="B15" s="86" t="s">
        <v>2764</v>
      </c>
      <c r="C15" s="141" t="str">
        <f t="shared" si="1"/>
        <v>1 rok od dnia zakupu</v>
      </c>
      <c r="D15" s="87">
        <v>45078</v>
      </c>
      <c r="E15" s="87">
        <v>45107</v>
      </c>
      <c r="F15" s="88">
        <v>100</v>
      </c>
      <c r="G15" s="88">
        <v>99.8</v>
      </c>
      <c r="H15" s="142">
        <v>2717.7624</v>
      </c>
      <c r="I15" s="142">
        <v>1442.0969</v>
      </c>
      <c r="J15" s="143">
        <v>0.0675</v>
      </c>
      <c r="K15" s="143">
        <f>$AH15+6.75%</f>
        <v>0.0675</v>
      </c>
      <c r="L15" s="143">
        <f>$AH15+6.75%</f>
        <v>0.0675</v>
      </c>
      <c r="M15" s="143">
        <f>$AH15+6.75%</f>
        <v>0.0675</v>
      </c>
      <c r="N15" s="143">
        <f>$AH15+6%</f>
        <v>0.06</v>
      </c>
      <c r="O15" s="143">
        <f aca="true" t="shared" si="12" ref="O15:O20">$AH15+5.75%</f>
        <v>0.0575</v>
      </c>
      <c r="P15" s="143">
        <f t="shared" si="11"/>
        <v>0.0575</v>
      </c>
      <c r="Q15" s="143">
        <f t="shared" si="10"/>
        <v>0.0575</v>
      </c>
      <c r="R15" s="143">
        <f t="shared" si="9"/>
        <v>0.0575</v>
      </c>
      <c r="S15" s="143">
        <f t="shared" si="8"/>
        <v>0.0575</v>
      </c>
      <c r="T15" s="143">
        <f t="shared" si="7"/>
        <v>0.0575</v>
      </c>
      <c r="U15" s="143"/>
      <c r="V15" s="144">
        <v>0.56</v>
      </c>
      <c r="W15" s="144">
        <v>0.56</v>
      </c>
      <c r="X15" s="144">
        <v>0.56</v>
      </c>
      <c r="Y15" s="144">
        <v>0.56</v>
      </c>
      <c r="Z15" s="144">
        <v>0.5</v>
      </c>
      <c r="AA15" s="144">
        <v>0.48</v>
      </c>
      <c r="AB15" s="144">
        <v>0.48</v>
      </c>
      <c r="AC15" s="144">
        <v>0.48</v>
      </c>
      <c r="AD15" s="144">
        <v>0.48</v>
      </c>
      <c r="AE15" s="144">
        <v>0.48</v>
      </c>
      <c r="AF15" s="144">
        <v>0.48</v>
      </c>
      <c r="AG15" s="144"/>
      <c r="AH15" s="145">
        <v>0</v>
      </c>
    </row>
    <row r="16" spans="1:34" ht="12.75">
      <c r="A16" s="85" t="s">
        <v>2765</v>
      </c>
      <c r="B16" s="86" t="s">
        <v>2766</v>
      </c>
      <c r="C16" s="141" t="str">
        <f t="shared" si="1"/>
        <v>1 rok od dnia zakupu</v>
      </c>
      <c r="D16" s="87">
        <v>45108</v>
      </c>
      <c r="E16" s="87">
        <v>45138</v>
      </c>
      <c r="F16" s="88">
        <v>100</v>
      </c>
      <c r="G16" s="88">
        <v>99.8</v>
      </c>
      <c r="H16" s="142">
        <v>2099.9684</v>
      </c>
      <c r="I16" s="142">
        <v>897.2507</v>
      </c>
      <c r="J16" s="143">
        <v>0.0675</v>
      </c>
      <c r="K16" s="143">
        <f>$AH16+6.75%</f>
        <v>0.0675</v>
      </c>
      <c r="L16" s="143">
        <f>$AH16+6.75%</f>
        <v>0.0675</v>
      </c>
      <c r="M16" s="143">
        <f>$AH16+6%</f>
        <v>0.06</v>
      </c>
      <c r="N16" s="143">
        <f aca="true" t="shared" si="13" ref="N16:N21">$AH16+5.75%</f>
        <v>0.0575</v>
      </c>
      <c r="O16" s="143">
        <f t="shared" si="12"/>
        <v>0.0575</v>
      </c>
      <c r="P16" s="143">
        <f t="shared" si="11"/>
        <v>0.0575</v>
      </c>
      <c r="Q16" s="143">
        <f t="shared" si="10"/>
        <v>0.0575</v>
      </c>
      <c r="R16" s="143">
        <f t="shared" si="9"/>
        <v>0.0575</v>
      </c>
      <c r="S16" s="143">
        <f t="shared" si="8"/>
        <v>0.0575</v>
      </c>
      <c r="T16" s="143"/>
      <c r="U16" s="143"/>
      <c r="V16" s="144">
        <v>0.56</v>
      </c>
      <c r="W16" s="144">
        <v>0.56</v>
      </c>
      <c r="X16" s="144">
        <v>0.56</v>
      </c>
      <c r="Y16" s="144">
        <v>0.5</v>
      </c>
      <c r="Z16" s="144">
        <v>0.48</v>
      </c>
      <c r="AA16" s="144">
        <v>0.48</v>
      </c>
      <c r="AB16" s="144">
        <v>0.48</v>
      </c>
      <c r="AC16" s="144">
        <v>0.48</v>
      </c>
      <c r="AD16" s="144">
        <v>0.48</v>
      </c>
      <c r="AE16" s="144">
        <v>0.48</v>
      </c>
      <c r="AF16" s="144"/>
      <c r="AG16" s="144"/>
      <c r="AH16" s="145">
        <v>0</v>
      </c>
    </row>
    <row r="17" spans="1:34" ht="12.75">
      <c r="A17" s="85" t="s">
        <v>2767</v>
      </c>
      <c r="B17" s="86" t="s">
        <v>2768</v>
      </c>
      <c r="C17" s="141" t="str">
        <f t="shared" si="1"/>
        <v>1 rok od dnia zakupu</v>
      </c>
      <c r="D17" s="87">
        <v>45139</v>
      </c>
      <c r="E17" s="87">
        <v>45169</v>
      </c>
      <c r="F17" s="88">
        <v>100</v>
      </c>
      <c r="G17" s="88">
        <v>99.8</v>
      </c>
      <c r="H17" s="142">
        <v>1451.4173</v>
      </c>
      <c r="I17" s="142">
        <v>498.9302</v>
      </c>
      <c r="J17" s="143">
        <v>0.0675</v>
      </c>
      <c r="K17" s="143">
        <f>$AH17+6.75%</f>
        <v>0.0675</v>
      </c>
      <c r="L17" s="143">
        <f>$AH17+6%</f>
        <v>0.06</v>
      </c>
      <c r="M17" s="143">
        <f aca="true" t="shared" si="14" ref="L17:M23">$AH17+5.75%</f>
        <v>0.0575</v>
      </c>
      <c r="N17" s="143">
        <f t="shared" si="13"/>
        <v>0.0575</v>
      </c>
      <c r="O17" s="143">
        <f t="shared" si="12"/>
        <v>0.0575</v>
      </c>
      <c r="P17" s="143">
        <f t="shared" si="11"/>
        <v>0.0575</v>
      </c>
      <c r="Q17" s="143">
        <f t="shared" si="10"/>
        <v>0.0575</v>
      </c>
      <c r="R17" s="143">
        <f t="shared" si="9"/>
        <v>0.0575</v>
      </c>
      <c r="S17" s="143"/>
      <c r="T17" s="143"/>
      <c r="U17" s="143"/>
      <c r="V17" s="144">
        <v>0.56</v>
      </c>
      <c r="W17" s="144">
        <v>0.56</v>
      </c>
      <c r="X17" s="144">
        <v>0.5</v>
      </c>
      <c r="Y17" s="144">
        <v>0.48</v>
      </c>
      <c r="Z17" s="144">
        <v>0.48</v>
      </c>
      <c r="AA17" s="144">
        <v>0.48</v>
      </c>
      <c r="AB17" s="144">
        <v>0.48</v>
      </c>
      <c r="AC17" s="144">
        <v>0.48</v>
      </c>
      <c r="AD17" s="144">
        <v>0.48</v>
      </c>
      <c r="AE17" s="144"/>
      <c r="AF17" s="144"/>
      <c r="AG17" s="144"/>
      <c r="AH17" s="145">
        <v>0</v>
      </c>
    </row>
    <row r="18" spans="1:34" ht="12.75">
      <c r="A18" s="85" t="s">
        <v>2769</v>
      </c>
      <c r="B18" s="86" t="s">
        <v>2770</v>
      </c>
      <c r="C18" s="141" t="str">
        <f t="shared" si="1"/>
        <v>1 rok od dnia zakupu</v>
      </c>
      <c r="D18" s="87">
        <v>45170</v>
      </c>
      <c r="E18" s="87">
        <v>45199</v>
      </c>
      <c r="F18" s="88">
        <v>100</v>
      </c>
      <c r="G18" s="88">
        <v>99.9</v>
      </c>
      <c r="H18" s="142">
        <v>803.9757</v>
      </c>
      <c r="I18" s="142">
        <v>159.9595</v>
      </c>
      <c r="J18" s="143">
        <v>0.0675</v>
      </c>
      <c r="K18" s="143">
        <f>$AH18+6%</f>
        <v>0.06</v>
      </c>
      <c r="L18" s="143">
        <f>$AH18+5.75%</f>
        <v>0.0575</v>
      </c>
      <c r="M18" s="143">
        <f t="shared" si="14"/>
        <v>0.0575</v>
      </c>
      <c r="N18" s="143">
        <f t="shared" si="13"/>
        <v>0.0575</v>
      </c>
      <c r="O18" s="143">
        <f t="shared" si="12"/>
        <v>0.0575</v>
      </c>
      <c r="P18" s="143">
        <f t="shared" si="11"/>
        <v>0.0575</v>
      </c>
      <c r="Q18" s="143">
        <f t="shared" si="10"/>
        <v>0.0575</v>
      </c>
      <c r="R18" s="143"/>
      <c r="S18" s="143"/>
      <c r="T18" s="143"/>
      <c r="U18" s="143"/>
      <c r="V18" s="144">
        <v>0.56</v>
      </c>
      <c r="W18" s="144">
        <v>0.5</v>
      </c>
      <c r="X18" s="144">
        <v>0.48</v>
      </c>
      <c r="Y18" s="144">
        <v>0.48</v>
      </c>
      <c r="Z18" s="144">
        <v>0.48</v>
      </c>
      <c r="AA18" s="144">
        <v>0.48</v>
      </c>
      <c r="AB18" s="144">
        <v>0.48</v>
      </c>
      <c r="AC18" s="144">
        <v>0.48</v>
      </c>
      <c r="AD18" s="144"/>
      <c r="AE18" s="144"/>
      <c r="AF18" s="144"/>
      <c r="AG18" s="144"/>
      <c r="AH18" s="145">
        <v>0</v>
      </c>
    </row>
    <row r="19" spans="1:34" ht="12.75">
      <c r="A19" s="85" t="s">
        <v>2771</v>
      </c>
      <c r="B19" s="86" t="s">
        <v>2772</v>
      </c>
      <c r="C19" s="141" t="str">
        <f t="shared" si="1"/>
        <v>1 rok od dnia zakupu</v>
      </c>
      <c r="D19" s="87">
        <v>45200</v>
      </c>
      <c r="E19" s="87">
        <v>45230</v>
      </c>
      <c r="F19" s="88">
        <v>100</v>
      </c>
      <c r="G19" s="88">
        <v>99.9</v>
      </c>
      <c r="H19" s="142">
        <v>752.2718</v>
      </c>
      <c r="I19" s="142">
        <v>105.7486</v>
      </c>
      <c r="J19" s="143">
        <v>0.065</v>
      </c>
      <c r="K19" s="143">
        <f aca="true" t="shared" si="15" ref="K19:K24">$AH19+5.75%</f>
        <v>0.0575</v>
      </c>
      <c r="L19" s="143">
        <f>$AH19+5.75%</f>
        <v>0.0575</v>
      </c>
      <c r="M19" s="143">
        <f t="shared" si="14"/>
        <v>0.0575</v>
      </c>
      <c r="N19" s="143">
        <f t="shared" si="13"/>
        <v>0.0575</v>
      </c>
      <c r="O19" s="143">
        <f t="shared" si="12"/>
        <v>0.0575</v>
      </c>
      <c r="P19" s="143">
        <f t="shared" si="11"/>
        <v>0.0575</v>
      </c>
      <c r="Q19" s="143"/>
      <c r="R19" s="143"/>
      <c r="S19" s="143"/>
      <c r="T19" s="143"/>
      <c r="U19" s="143"/>
      <c r="V19" s="144">
        <v>0.54</v>
      </c>
      <c r="W19" s="144">
        <v>0.48</v>
      </c>
      <c r="X19" s="144">
        <v>0.48</v>
      </c>
      <c r="Y19" s="144">
        <v>0.48</v>
      </c>
      <c r="Z19" s="144">
        <v>0.48</v>
      </c>
      <c r="AA19" s="144">
        <v>0.48</v>
      </c>
      <c r="AB19" s="144">
        <v>0.48</v>
      </c>
      <c r="AC19" s="144"/>
      <c r="AD19" s="144"/>
      <c r="AE19" s="144"/>
      <c r="AF19" s="144"/>
      <c r="AG19" s="144"/>
      <c r="AH19" s="145">
        <v>0</v>
      </c>
    </row>
    <row r="20" spans="1:34" ht="12.75">
      <c r="A20" s="85" t="s">
        <v>2773</v>
      </c>
      <c r="B20" s="86" t="s">
        <v>2774</v>
      </c>
      <c r="C20" s="141" t="str">
        <f t="shared" si="1"/>
        <v>1 rok od dnia zakupu</v>
      </c>
      <c r="D20" s="87">
        <v>45231</v>
      </c>
      <c r="E20" s="87">
        <v>45260</v>
      </c>
      <c r="F20" s="88">
        <v>100</v>
      </c>
      <c r="G20" s="88">
        <v>99.9</v>
      </c>
      <c r="H20" s="142">
        <v>660.4384</v>
      </c>
      <c r="I20" s="142">
        <v>75.3452</v>
      </c>
      <c r="J20" s="143">
        <v>0.0625</v>
      </c>
      <c r="K20" s="143">
        <f t="shared" si="15"/>
        <v>0.0575</v>
      </c>
      <c r="L20" s="143">
        <f>$AH20+5.75%</f>
        <v>0.0575</v>
      </c>
      <c r="M20" s="143">
        <f t="shared" si="14"/>
        <v>0.0575</v>
      </c>
      <c r="N20" s="143">
        <f t="shared" si="13"/>
        <v>0.0575</v>
      </c>
      <c r="O20" s="143">
        <f t="shared" si="12"/>
        <v>0.0575</v>
      </c>
      <c r="P20" s="143"/>
      <c r="Q20" s="143"/>
      <c r="R20" s="143"/>
      <c r="S20" s="143"/>
      <c r="T20" s="143"/>
      <c r="U20" s="143"/>
      <c r="V20" s="144">
        <v>0.52</v>
      </c>
      <c r="W20" s="144">
        <v>0.48</v>
      </c>
      <c r="X20" s="144">
        <v>0.48</v>
      </c>
      <c r="Y20" s="144">
        <v>0.48</v>
      </c>
      <c r="Z20" s="144">
        <v>0.48</v>
      </c>
      <c r="AA20" s="144">
        <v>0.48</v>
      </c>
      <c r="AB20" s="144"/>
      <c r="AC20" s="144"/>
      <c r="AD20" s="144"/>
      <c r="AE20" s="144"/>
      <c r="AF20" s="144"/>
      <c r="AG20" s="144"/>
      <c r="AH20" s="145">
        <v>0</v>
      </c>
    </row>
    <row r="21" spans="1:34" s="25" customFormat="1" ht="12.75">
      <c r="A21" s="90" t="s">
        <v>2905</v>
      </c>
      <c r="B21" s="91" t="s">
        <v>2906</v>
      </c>
      <c r="C21" s="146" t="str">
        <f>"1"&amp;wykupROR</f>
        <v>1 rok od dnia zakupu</v>
      </c>
      <c r="D21" s="92">
        <v>45261</v>
      </c>
      <c r="E21" s="92">
        <v>45291</v>
      </c>
      <c r="F21" s="93">
        <v>100</v>
      </c>
      <c r="G21" s="93">
        <v>99.9</v>
      </c>
      <c r="H21" s="147">
        <v>735.1690000000001</v>
      </c>
      <c r="I21" s="147">
        <v>54.4958</v>
      </c>
      <c r="J21" s="148">
        <v>0.0625</v>
      </c>
      <c r="K21" s="148">
        <f t="shared" si="15"/>
        <v>0.0575</v>
      </c>
      <c r="L21" s="148">
        <f>$AH21+5.75%</f>
        <v>0.0575</v>
      </c>
      <c r="M21" s="148">
        <f t="shared" si="14"/>
        <v>0.0575</v>
      </c>
      <c r="N21" s="148">
        <f t="shared" si="13"/>
        <v>0.0575</v>
      </c>
      <c r="O21" s="148"/>
      <c r="P21" s="148"/>
      <c r="Q21" s="148"/>
      <c r="R21" s="148"/>
      <c r="S21" s="148"/>
      <c r="T21" s="148"/>
      <c r="U21" s="148"/>
      <c r="V21" s="149">
        <v>0.52</v>
      </c>
      <c r="W21" s="149">
        <v>0.48</v>
      </c>
      <c r="X21" s="149">
        <v>0.48</v>
      </c>
      <c r="Y21" s="149">
        <v>0.48</v>
      </c>
      <c r="Z21" s="149">
        <v>0.48</v>
      </c>
      <c r="AA21" s="149"/>
      <c r="AB21" s="149"/>
      <c r="AC21" s="149"/>
      <c r="AD21" s="149"/>
      <c r="AE21" s="149"/>
      <c r="AF21" s="149"/>
      <c r="AG21" s="149"/>
      <c r="AH21" s="150">
        <v>0</v>
      </c>
    </row>
    <row r="22" spans="1:34" ht="12.75">
      <c r="A22" s="85" t="s">
        <v>2921</v>
      </c>
      <c r="B22" s="86" t="s">
        <v>2923</v>
      </c>
      <c r="C22" s="141" t="str">
        <f>"1"&amp;wykupROR</f>
        <v>1 rok od dnia zakupu</v>
      </c>
      <c r="D22" s="87">
        <f>_XLL.NR.SER.DATY(D21,1)</f>
        <v>45292</v>
      </c>
      <c r="E22" s="87">
        <f>_XLL.NR.SER.OST.DN.MIES(D22,0)</f>
        <v>45322</v>
      </c>
      <c r="F22" s="88">
        <v>100</v>
      </c>
      <c r="G22" s="88">
        <v>99.9</v>
      </c>
      <c r="H22" s="142">
        <v>946.2999</v>
      </c>
      <c r="I22" s="142">
        <v>67.0772</v>
      </c>
      <c r="J22" s="143">
        <v>0.0615</v>
      </c>
      <c r="K22" s="143">
        <f t="shared" si="15"/>
        <v>0.0575</v>
      </c>
      <c r="L22" s="143">
        <f>$AH22+5.75%</f>
        <v>0.0575</v>
      </c>
      <c r="M22" s="143">
        <f t="shared" si="14"/>
        <v>0.0575</v>
      </c>
      <c r="N22" s="143"/>
      <c r="O22" s="143"/>
      <c r="P22" s="143"/>
      <c r="Q22" s="143"/>
      <c r="R22" s="143"/>
      <c r="S22" s="143"/>
      <c r="T22" s="143"/>
      <c r="U22" s="143"/>
      <c r="V22" s="144">
        <v>0.51</v>
      </c>
      <c r="W22" s="144">
        <v>0.48</v>
      </c>
      <c r="X22" s="144">
        <v>0.48</v>
      </c>
      <c r="Y22" s="144">
        <v>0.48</v>
      </c>
      <c r="Z22" s="144"/>
      <c r="AA22" s="144"/>
      <c r="AB22" s="144"/>
      <c r="AC22" s="144"/>
      <c r="AD22" s="144"/>
      <c r="AE22" s="144"/>
      <c r="AF22" s="144"/>
      <c r="AG22" s="144"/>
      <c r="AH22" s="145">
        <v>0</v>
      </c>
    </row>
    <row r="23" spans="1:34" s="7" customFormat="1" ht="12.75">
      <c r="A23" s="85" t="s">
        <v>2937</v>
      </c>
      <c r="B23" s="86" t="s">
        <v>2938</v>
      </c>
      <c r="C23" s="141" t="str">
        <f>"1"&amp;wykupROR</f>
        <v>1 rok od dnia zakupu</v>
      </c>
      <c r="D23" s="87">
        <f>_XLL.NR.SER.DATY(D22,1)</f>
        <v>45323</v>
      </c>
      <c r="E23" s="87">
        <f>_XLL.NR.SER.OST.DN.MIES(D23,0)-1</f>
        <v>45350</v>
      </c>
      <c r="F23" s="88">
        <v>100</v>
      </c>
      <c r="G23" s="88">
        <v>99.9</v>
      </c>
      <c r="H23" s="142">
        <v>843.0857</v>
      </c>
      <c r="I23" s="142">
        <v>79.6622</v>
      </c>
      <c r="J23" s="143">
        <v>0.0605</v>
      </c>
      <c r="K23" s="143">
        <f t="shared" si="15"/>
        <v>0.0575</v>
      </c>
      <c r="L23" s="143">
        <f t="shared" si="14"/>
        <v>0.0575</v>
      </c>
      <c r="M23" s="143"/>
      <c r="N23" s="143"/>
      <c r="O23" s="143"/>
      <c r="P23" s="143"/>
      <c r="Q23" s="143"/>
      <c r="R23" s="143"/>
      <c r="S23" s="143"/>
      <c r="T23" s="143"/>
      <c r="U23" s="143"/>
      <c r="V23" s="144">
        <v>0.5</v>
      </c>
      <c r="W23" s="144">
        <v>0.48</v>
      </c>
      <c r="X23" s="144">
        <v>0.48</v>
      </c>
      <c r="Y23" s="144"/>
      <c r="Z23" s="144"/>
      <c r="AA23" s="144"/>
      <c r="AB23" s="144"/>
      <c r="AC23" s="144"/>
      <c r="AD23" s="144"/>
      <c r="AE23" s="144"/>
      <c r="AF23" s="144"/>
      <c r="AG23" s="144"/>
      <c r="AH23" s="145">
        <v>0</v>
      </c>
    </row>
    <row r="24" spans="1:34" s="7" customFormat="1" ht="12.75">
      <c r="A24" s="85" t="s">
        <v>2953</v>
      </c>
      <c r="B24" s="86" t="s">
        <v>2954</v>
      </c>
      <c r="C24" s="141" t="str">
        <f>"1"&amp;wykupROR</f>
        <v>1 rok od dnia zakupu</v>
      </c>
      <c r="D24" s="87">
        <f>_XLL.NR.SER.DATY(D23,1)</f>
        <v>45352</v>
      </c>
      <c r="E24" s="87">
        <f>_XLL.NR.SER.OST.DN.MIES(D24,0)</f>
        <v>45382</v>
      </c>
      <c r="F24" s="88">
        <v>100</v>
      </c>
      <c r="G24" s="88">
        <v>99.9</v>
      </c>
      <c r="H24" s="142">
        <v>935.5433</v>
      </c>
      <c r="I24" s="142">
        <v>84.7426</v>
      </c>
      <c r="J24" s="143">
        <v>0.0605</v>
      </c>
      <c r="K24" s="143">
        <f t="shared" si="15"/>
        <v>0.0575</v>
      </c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4">
        <v>0.5</v>
      </c>
      <c r="W24" s="144">
        <v>0.48</v>
      </c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5">
        <v>0</v>
      </c>
    </row>
    <row r="25" spans="1:34" s="25" customFormat="1" ht="12.75">
      <c r="A25" s="90" t="s">
        <v>2969</v>
      </c>
      <c r="B25" s="91" t="s">
        <v>2971</v>
      </c>
      <c r="C25" s="146" t="str">
        <f>"1"&amp;wykupROR</f>
        <v>1 rok od dnia zakupu</v>
      </c>
      <c r="D25" s="92">
        <f>_XLL.NR.SER.DATY(D24,1)</f>
        <v>45383</v>
      </c>
      <c r="E25" s="92">
        <f>_XLL.NR.SER.OST.DN.MIES(D25,0)</f>
        <v>45412</v>
      </c>
      <c r="F25" s="93">
        <v>100</v>
      </c>
      <c r="G25" s="93">
        <v>99.9</v>
      </c>
      <c r="H25" s="147"/>
      <c r="I25" s="147"/>
      <c r="J25" s="148">
        <v>0.0605</v>
      </c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9">
        <v>0.5</v>
      </c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50">
        <v>0</v>
      </c>
    </row>
  </sheetData>
  <sheetProtection/>
  <mergeCells count="12">
    <mergeCell ref="G1:G2"/>
    <mergeCell ref="H1:H2"/>
    <mergeCell ref="I1:I2"/>
    <mergeCell ref="V1:AG1"/>
    <mergeCell ref="AH1:AH2"/>
    <mergeCell ref="J1:U1"/>
    <mergeCell ref="A1:A2"/>
    <mergeCell ref="B1:B2"/>
    <mergeCell ref="C1:C2"/>
    <mergeCell ref="D1:D2"/>
    <mergeCell ref="E1:E2"/>
    <mergeCell ref="F1:F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  <ignoredErrors>
    <ignoredError sqref="E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4"/>
  <dimension ref="A1:BF25"/>
  <sheetViews>
    <sheetView zoomScale="115" zoomScaleNormal="115" zoomScalePageLayoutView="0" workbookViewId="0" topLeftCell="A1">
      <pane xSplit="2" ySplit="2" topLeftCell="C2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6" sqref="A26"/>
    </sheetView>
  </sheetViews>
  <sheetFormatPr defaultColWidth="0" defaultRowHeight="12.75"/>
  <cols>
    <col min="1" max="1" width="10.875" style="13" customWidth="1"/>
    <col min="2" max="2" width="16.50390625" style="13" customWidth="1"/>
    <col min="3" max="3" width="30.875" style="13" customWidth="1"/>
    <col min="4" max="4" width="17.625" style="13" customWidth="1"/>
    <col min="5" max="5" width="11.875" style="13" bestFit="1" customWidth="1"/>
    <col min="6" max="6" width="12.50390625" style="13" bestFit="1" customWidth="1"/>
    <col min="7" max="7" width="18.00390625" style="13" bestFit="1" customWidth="1"/>
    <col min="8" max="8" width="11.50390625" style="18" bestFit="1" customWidth="1"/>
    <col min="9" max="9" width="15.875" style="18" customWidth="1"/>
    <col min="10" max="10" width="8.875" style="13" customWidth="1"/>
    <col min="11" max="57" width="8.875" style="34" customWidth="1"/>
    <col min="58" max="58" width="13.875" style="140" customWidth="1"/>
    <col min="59" max="16384" width="15.50390625" style="0" hidden="1" customWidth="1"/>
  </cols>
  <sheetData>
    <row r="1" spans="1:58" ht="13.5" customHeight="1">
      <c r="A1" s="347" t="str">
        <f>Seria</f>
        <v>Seria</v>
      </c>
      <c r="B1" s="347" t="str">
        <f>ISIN</f>
        <v>Kod ISIN</v>
      </c>
      <c r="C1" s="348" t="str">
        <f>Wykup</f>
        <v>Data wykupu</v>
      </c>
      <c r="D1" s="348" t="str">
        <f>PoczatekSprzedazy</f>
        <v>Początek sprzedaży</v>
      </c>
      <c r="E1" s="348" t="str">
        <f>KoniecSprzedazy</f>
        <v>Koniec sprzedaży</v>
      </c>
      <c r="F1" s="348" t="str">
        <f>CenaEmisyjna</f>
        <v>Cena emisyjna</v>
      </c>
      <c r="G1" s="348" t="str">
        <f>switch_price</f>
        <v>Cena zamiany</v>
      </c>
      <c r="H1" s="349" t="str">
        <f>Sprzedaz&amp;" 
(mln zł)"</f>
        <v>Sprzedaż łączna 
(mln zł)</v>
      </c>
      <c r="I1" s="349" t="str">
        <f>switch&amp;" (mln zł)"</f>
        <v>w tym zamiana (mln zł)</v>
      </c>
      <c r="J1" s="350" t="str">
        <f>Oprocentowanie</f>
        <v>Oprocentowanie</v>
      </c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 t="str">
        <f>Odsetki&amp;" (zł)"</f>
        <v>Odsetki (zł)</v>
      </c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0"/>
      <c r="AT1" s="350"/>
      <c r="AU1" s="350"/>
      <c r="AV1" s="350"/>
      <c r="AW1" s="350"/>
      <c r="AX1" s="350"/>
      <c r="AY1" s="350"/>
      <c r="AZ1" s="350"/>
      <c r="BA1" s="350"/>
      <c r="BB1" s="350"/>
      <c r="BC1" s="350"/>
      <c r="BD1" s="350"/>
      <c r="BE1" s="350"/>
      <c r="BF1" s="350" t="str">
        <f>Marża</f>
        <v>Marża</v>
      </c>
    </row>
    <row r="2" spans="1:58" ht="27" customHeight="1">
      <c r="A2" s="347"/>
      <c r="B2" s="347"/>
      <c r="C2" s="348"/>
      <c r="D2" s="348"/>
      <c r="E2" s="348"/>
      <c r="F2" s="348"/>
      <c r="G2" s="348"/>
      <c r="H2" s="349"/>
      <c r="I2" s="349"/>
      <c r="J2" s="84" t="str">
        <f>pierwszy_okres</f>
        <v>w 1. okresie</v>
      </c>
      <c r="K2" s="84" t="str">
        <f>drugi_okres</f>
        <v>w 2. okresie</v>
      </c>
      <c r="L2" s="84" t="str">
        <f>trzeci_okres</f>
        <v>w 3. okresie</v>
      </c>
      <c r="M2" s="84" t="str">
        <f>czwarty_okres</f>
        <v>w 4. okresie</v>
      </c>
      <c r="N2" s="84" t="str">
        <f>piąty_okres</f>
        <v>w 5. okresie</v>
      </c>
      <c r="O2" s="84" t="str">
        <f>szósty_okres</f>
        <v>w 6. okresie</v>
      </c>
      <c r="P2" s="84" t="str">
        <f>siódmy_okres</f>
        <v>w 7. okresie</v>
      </c>
      <c r="Q2" s="84" t="str">
        <f>ósmy_okres</f>
        <v>w 8. okresie</v>
      </c>
      <c r="R2" s="84" t="str">
        <f>dziewiąty_okres</f>
        <v>w 9. okresie</v>
      </c>
      <c r="S2" s="84" t="str">
        <f>dziesiąty_okres</f>
        <v>w 10. okresie</v>
      </c>
      <c r="T2" s="84" t="str">
        <f>jedenasty_okres</f>
        <v>w 11. okresie</v>
      </c>
      <c r="U2" s="84" t="str">
        <f>dwunasty_okres</f>
        <v>w 12. okresie</v>
      </c>
      <c r="V2" s="84" t="str">
        <f>trzynasty_okres</f>
        <v>w 13. okresie</v>
      </c>
      <c r="W2" s="84" t="str">
        <f>czternasty_okres</f>
        <v>w 14. okresie</v>
      </c>
      <c r="X2" s="84" t="str">
        <f>piętnasty_okres</f>
        <v>w 15. okresie</v>
      </c>
      <c r="Y2" s="84" t="str">
        <f>szesnasty_okres</f>
        <v>w 16. okresie</v>
      </c>
      <c r="Z2" s="84" t="str">
        <f>siedemnasty_okres</f>
        <v>w 17. okresie</v>
      </c>
      <c r="AA2" s="84" t="str">
        <f>osiemnasty_okres</f>
        <v>w 18. okresie</v>
      </c>
      <c r="AB2" s="84" t="str">
        <f>dziewiętnasty_okres</f>
        <v>w 19. okresie</v>
      </c>
      <c r="AC2" s="84" t="str">
        <f>dwudziesty_okres</f>
        <v>w 20. okresie</v>
      </c>
      <c r="AD2" s="84" t="str">
        <f>dwudziestypierwszy_okres</f>
        <v>w 21. okresie</v>
      </c>
      <c r="AE2" s="84" t="str">
        <f>dwudziestydrugi_okres</f>
        <v>w 22. okresie</v>
      </c>
      <c r="AF2" s="84" t="str">
        <f>dwudziestytrzeci_okres</f>
        <v>w 23. okresie</v>
      </c>
      <c r="AG2" s="84" t="str">
        <f>dwudziestyczwarty_okres</f>
        <v>w 24. okresie</v>
      </c>
      <c r="AH2" s="84" t="str">
        <f>pierwszy_okres</f>
        <v>w 1. okresie</v>
      </c>
      <c r="AI2" s="84" t="str">
        <f>drugi_okres</f>
        <v>w 2. okresie</v>
      </c>
      <c r="AJ2" s="84" t="str">
        <f>trzeci_okres</f>
        <v>w 3. okresie</v>
      </c>
      <c r="AK2" s="84" t="str">
        <f>czwarty_okres</f>
        <v>w 4. okresie</v>
      </c>
      <c r="AL2" s="84" t="str">
        <f>piąty_okres</f>
        <v>w 5. okresie</v>
      </c>
      <c r="AM2" s="84" t="str">
        <f>szósty_okres</f>
        <v>w 6. okresie</v>
      </c>
      <c r="AN2" s="84" t="str">
        <f>siódmy_okres</f>
        <v>w 7. okresie</v>
      </c>
      <c r="AO2" s="84" t="str">
        <f>ósmy_okres</f>
        <v>w 8. okresie</v>
      </c>
      <c r="AP2" s="84" t="str">
        <f>dziewiąty_okres</f>
        <v>w 9. okresie</v>
      </c>
      <c r="AQ2" s="84" t="str">
        <f>dziesiąty_okres</f>
        <v>w 10. okresie</v>
      </c>
      <c r="AR2" s="84" t="str">
        <f>jedenasty_okres</f>
        <v>w 11. okresie</v>
      </c>
      <c r="AS2" s="84" t="str">
        <f>dwunasty_okres</f>
        <v>w 12. okresie</v>
      </c>
      <c r="AT2" s="84" t="str">
        <f>trzynasty_okres</f>
        <v>w 13. okresie</v>
      </c>
      <c r="AU2" s="84" t="str">
        <f>czternasty_okres</f>
        <v>w 14. okresie</v>
      </c>
      <c r="AV2" s="84" t="str">
        <f>piętnasty_okres</f>
        <v>w 15. okresie</v>
      </c>
      <c r="AW2" s="84" t="str">
        <f>szesnasty_okres</f>
        <v>w 16. okresie</v>
      </c>
      <c r="AX2" s="84" t="str">
        <f>siedemnasty_okres</f>
        <v>w 17. okresie</v>
      </c>
      <c r="AY2" s="84" t="str">
        <f>osiemnasty_okres</f>
        <v>w 18. okresie</v>
      </c>
      <c r="AZ2" s="84" t="str">
        <f>dziewiętnasty_okres</f>
        <v>w 19. okresie</v>
      </c>
      <c r="BA2" s="84" t="str">
        <f>dwudziesty_okres</f>
        <v>w 20. okresie</v>
      </c>
      <c r="BB2" s="84" t="str">
        <f>dwudziestypierwszy_okres</f>
        <v>w 21. okresie</v>
      </c>
      <c r="BC2" s="84" t="str">
        <f>dwudziestydrugi_okres</f>
        <v>w 22. okresie</v>
      </c>
      <c r="BD2" s="84" t="str">
        <f>dwudziestytrzeci_okres</f>
        <v>w 23. okresie</v>
      </c>
      <c r="BE2" s="84" t="str">
        <f>dwudziestyczwarty_okres</f>
        <v>w 24. okresie</v>
      </c>
      <c r="BF2" s="350"/>
    </row>
    <row r="3" spans="1:58" ht="12.75">
      <c r="A3" s="113" t="s">
        <v>2610</v>
      </c>
      <c r="B3" s="114" t="s">
        <v>2619</v>
      </c>
      <c r="C3" s="136" t="str">
        <f>"2"&amp;WykupCOI</f>
        <v>2 lat/a od dnia zakupu</v>
      </c>
      <c r="D3" s="115">
        <v>44713</v>
      </c>
      <c r="E3" s="115">
        <v>44742</v>
      </c>
      <c r="F3" s="116">
        <v>100</v>
      </c>
      <c r="G3" s="117">
        <v>99.9</v>
      </c>
      <c r="H3" s="152">
        <v>1321.918</v>
      </c>
      <c r="I3" s="152">
        <v>42.4641</v>
      </c>
      <c r="J3" s="48">
        <f>$BF3+5.25%</f>
        <v>0.055</v>
      </c>
      <c r="K3" s="153">
        <f>$BF3+6%</f>
        <v>0.0625</v>
      </c>
      <c r="L3" s="153">
        <f>$BF3+6.5%</f>
        <v>0.0675</v>
      </c>
      <c r="M3" s="153">
        <f>$BF3+6.5%</f>
        <v>0.0675</v>
      </c>
      <c r="N3" s="153">
        <f aca="true" t="shared" si="0" ref="N3:Y3">$BF3+6.75%</f>
        <v>0.07</v>
      </c>
      <c r="O3" s="153">
        <f t="shared" si="0"/>
        <v>0.07</v>
      </c>
      <c r="P3" s="153">
        <f t="shared" si="0"/>
        <v>0.07</v>
      </c>
      <c r="Q3" s="153">
        <f t="shared" si="0"/>
        <v>0.07</v>
      </c>
      <c r="R3" s="153">
        <f t="shared" si="0"/>
        <v>0.07</v>
      </c>
      <c r="S3" s="153">
        <f t="shared" si="0"/>
        <v>0.07</v>
      </c>
      <c r="T3" s="153">
        <f t="shared" si="0"/>
        <v>0.07</v>
      </c>
      <c r="U3" s="153">
        <f t="shared" si="0"/>
        <v>0.07</v>
      </c>
      <c r="V3" s="153">
        <f t="shared" si="0"/>
        <v>0.07</v>
      </c>
      <c r="W3" s="153">
        <f t="shared" si="0"/>
        <v>0.07</v>
      </c>
      <c r="X3" s="153">
        <f t="shared" si="0"/>
        <v>0.07</v>
      </c>
      <c r="Y3" s="153">
        <f t="shared" si="0"/>
        <v>0.07</v>
      </c>
      <c r="Z3" s="153">
        <f>$BF3+6%</f>
        <v>0.0625</v>
      </c>
      <c r="AA3" s="143">
        <f aca="true" t="shared" si="1" ref="AA3:AF3">$BF3+5.75%</f>
        <v>0.060000000000000005</v>
      </c>
      <c r="AB3" s="153">
        <f t="shared" si="1"/>
        <v>0.060000000000000005</v>
      </c>
      <c r="AC3" s="153">
        <f t="shared" si="1"/>
        <v>0.060000000000000005</v>
      </c>
      <c r="AD3" s="153">
        <f t="shared" si="1"/>
        <v>0.060000000000000005</v>
      </c>
      <c r="AE3" s="153">
        <f t="shared" si="1"/>
        <v>0.060000000000000005</v>
      </c>
      <c r="AF3" s="153">
        <f t="shared" si="1"/>
        <v>0.060000000000000005</v>
      </c>
      <c r="AG3" s="153"/>
      <c r="AH3" s="154">
        <v>0.46</v>
      </c>
      <c r="AI3" s="154">
        <v>0.52</v>
      </c>
      <c r="AJ3" s="154">
        <v>0.56</v>
      </c>
      <c r="AK3" s="154">
        <v>0.56</v>
      </c>
      <c r="AL3" s="154">
        <v>0.58</v>
      </c>
      <c r="AM3" s="154">
        <v>0.58</v>
      </c>
      <c r="AN3" s="154">
        <v>0.58</v>
      </c>
      <c r="AO3" s="154">
        <v>0.58</v>
      </c>
      <c r="AP3" s="154">
        <v>0.58</v>
      </c>
      <c r="AQ3" s="154">
        <v>0.58</v>
      </c>
      <c r="AR3" s="154">
        <v>0.58</v>
      </c>
      <c r="AS3" s="154">
        <v>0.58</v>
      </c>
      <c r="AT3" s="154">
        <v>0.58</v>
      </c>
      <c r="AU3" s="154">
        <v>0.58</v>
      </c>
      <c r="AV3" s="154">
        <v>0.58</v>
      </c>
      <c r="AW3" s="154">
        <v>0.58</v>
      </c>
      <c r="AX3" s="154">
        <v>0.52</v>
      </c>
      <c r="AY3" s="154">
        <v>0.5</v>
      </c>
      <c r="AZ3" s="154">
        <v>0.5</v>
      </c>
      <c r="BA3" s="154">
        <v>0.5</v>
      </c>
      <c r="BB3" s="154">
        <v>0.5</v>
      </c>
      <c r="BC3" s="154">
        <v>0.5</v>
      </c>
      <c r="BD3" s="154">
        <v>0.5</v>
      </c>
      <c r="BE3" s="154"/>
      <c r="BF3" s="40">
        <v>0.0025</v>
      </c>
    </row>
    <row r="4" spans="1:58" ht="12.75">
      <c r="A4" s="85" t="s">
        <v>2634</v>
      </c>
      <c r="B4" s="86" t="s">
        <v>2635</v>
      </c>
      <c r="C4" s="87" t="str">
        <f aca="true" t="shared" si="2" ref="C4:C20">"2"&amp;WykupCOI</f>
        <v>2 lat/a od dnia zakupu</v>
      </c>
      <c r="D4" s="87">
        <v>44743</v>
      </c>
      <c r="E4" s="87">
        <v>44773</v>
      </c>
      <c r="F4" s="88">
        <v>100</v>
      </c>
      <c r="G4" s="88">
        <v>99.9</v>
      </c>
      <c r="H4" s="142">
        <v>834.3851</v>
      </c>
      <c r="I4" s="142">
        <v>46.9054</v>
      </c>
      <c r="J4" s="143">
        <v>0.0625</v>
      </c>
      <c r="K4" s="143">
        <f>$BF4+6.5%</f>
        <v>0.0675</v>
      </c>
      <c r="L4" s="143">
        <f>$BF4+6.5%</f>
        <v>0.0675</v>
      </c>
      <c r="M4" s="143">
        <f aca="true" t="shared" si="3" ref="M4:R4">$BF4+6.75%</f>
        <v>0.07</v>
      </c>
      <c r="N4" s="143">
        <f t="shared" si="3"/>
        <v>0.07</v>
      </c>
      <c r="O4" s="143">
        <f t="shared" si="3"/>
        <v>0.07</v>
      </c>
      <c r="P4" s="143">
        <f t="shared" si="3"/>
        <v>0.07</v>
      </c>
      <c r="Q4" s="143">
        <f t="shared" si="3"/>
        <v>0.07</v>
      </c>
      <c r="R4" s="143">
        <f t="shared" si="3"/>
        <v>0.07</v>
      </c>
      <c r="S4" s="143">
        <f aca="true" t="shared" si="4" ref="S4:X4">$BF4+6.75%</f>
        <v>0.07</v>
      </c>
      <c r="T4" s="143">
        <f t="shared" si="4"/>
        <v>0.07</v>
      </c>
      <c r="U4" s="143">
        <f t="shared" si="4"/>
        <v>0.07</v>
      </c>
      <c r="V4" s="143">
        <f t="shared" si="4"/>
        <v>0.07</v>
      </c>
      <c r="W4" s="143">
        <f t="shared" si="4"/>
        <v>0.07</v>
      </c>
      <c r="X4" s="143">
        <f t="shared" si="4"/>
        <v>0.07</v>
      </c>
      <c r="Y4" s="143">
        <f>$BF4+6%</f>
        <v>0.0625</v>
      </c>
      <c r="Z4" s="143">
        <f aca="true" t="shared" si="5" ref="Z4:AE4">$BF4+5.75%</f>
        <v>0.060000000000000005</v>
      </c>
      <c r="AA4" s="143">
        <f t="shared" si="5"/>
        <v>0.060000000000000005</v>
      </c>
      <c r="AB4" s="143">
        <f t="shared" si="5"/>
        <v>0.060000000000000005</v>
      </c>
      <c r="AC4" s="143">
        <f t="shared" si="5"/>
        <v>0.060000000000000005</v>
      </c>
      <c r="AD4" s="143">
        <f t="shared" si="5"/>
        <v>0.060000000000000005</v>
      </c>
      <c r="AE4" s="143">
        <f t="shared" si="5"/>
        <v>0.060000000000000005</v>
      </c>
      <c r="AF4" s="143"/>
      <c r="AG4" s="143"/>
      <c r="AH4" s="144">
        <v>0.52</v>
      </c>
      <c r="AI4" s="144">
        <v>0.56</v>
      </c>
      <c r="AJ4" s="144">
        <v>0.56</v>
      </c>
      <c r="AK4" s="144">
        <v>0.58</v>
      </c>
      <c r="AL4" s="144">
        <v>0.58</v>
      </c>
      <c r="AM4" s="144">
        <v>0.58</v>
      </c>
      <c r="AN4" s="144">
        <v>0.58</v>
      </c>
      <c r="AO4" s="144">
        <v>0.58</v>
      </c>
      <c r="AP4" s="144">
        <v>0.58</v>
      </c>
      <c r="AQ4" s="144">
        <v>0.58</v>
      </c>
      <c r="AR4" s="144">
        <v>0.58</v>
      </c>
      <c r="AS4" s="144">
        <v>0.58</v>
      </c>
      <c r="AT4" s="144">
        <v>0.58</v>
      </c>
      <c r="AU4" s="144">
        <v>0.58</v>
      </c>
      <c r="AV4" s="144">
        <v>0.58</v>
      </c>
      <c r="AW4" s="144">
        <v>0.52</v>
      </c>
      <c r="AX4" s="144">
        <v>0.5</v>
      </c>
      <c r="AY4" s="144">
        <v>0.5</v>
      </c>
      <c r="AZ4" s="144">
        <v>0.5</v>
      </c>
      <c r="BA4" s="144">
        <v>0.5</v>
      </c>
      <c r="BB4" s="144">
        <v>0.5</v>
      </c>
      <c r="BC4" s="144">
        <v>0.5</v>
      </c>
      <c r="BD4" s="144"/>
      <c r="BE4" s="144"/>
      <c r="BF4" s="39">
        <v>0.0025</v>
      </c>
    </row>
    <row r="5" spans="1:58" ht="12.75">
      <c r="A5" s="85" t="s">
        <v>2775</v>
      </c>
      <c r="B5" s="86" t="s">
        <v>2776</v>
      </c>
      <c r="C5" s="87" t="str">
        <f t="shared" si="2"/>
        <v>2 lat/a od dnia zakupu</v>
      </c>
      <c r="D5" s="87">
        <v>44774</v>
      </c>
      <c r="E5" s="87">
        <v>44804</v>
      </c>
      <c r="F5" s="88">
        <v>100</v>
      </c>
      <c r="G5" s="88">
        <v>99.9</v>
      </c>
      <c r="H5" s="142">
        <v>416.1839</v>
      </c>
      <c r="I5" s="142">
        <v>41.7958</v>
      </c>
      <c r="J5" s="143">
        <v>0.0675</v>
      </c>
      <c r="K5" s="143">
        <f>$BF5+6.5%</f>
        <v>0.0675</v>
      </c>
      <c r="L5" s="143">
        <f aca="true" t="shared" si="6" ref="L5:Q5">$BF5+6.75%</f>
        <v>0.07</v>
      </c>
      <c r="M5" s="143">
        <f t="shared" si="6"/>
        <v>0.07</v>
      </c>
      <c r="N5" s="143">
        <f t="shared" si="6"/>
        <v>0.07</v>
      </c>
      <c r="O5" s="143">
        <f t="shared" si="6"/>
        <v>0.07</v>
      </c>
      <c r="P5" s="143">
        <f t="shared" si="6"/>
        <v>0.07</v>
      </c>
      <c r="Q5" s="143">
        <f t="shared" si="6"/>
        <v>0.07</v>
      </c>
      <c r="R5" s="143">
        <f aca="true" t="shared" si="7" ref="R5:W5">$BF5+6.75%</f>
        <v>0.07</v>
      </c>
      <c r="S5" s="143">
        <f t="shared" si="7"/>
        <v>0.07</v>
      </c>
      <c r="T5" s="143">
        <f t="shared" si="7"/>
        <v>0.07</v>
      </c>
      <c r="U5" s="143">
        <f t="shared" si="7"/>
        <v>0.07</v>
      </c>
      <c r="V5" s="143">
        <f t="shared" si="7"/>
        <v>0.07</v>
      </c>
      <c r="W5" s="143">
        <f t="shared" si="7"/>
        <v>0.07</v>
      </c>
      <c r="X5" s="143">
        <f>$BF5+6%</f>
        <v>0.0625</v>
      </c>
      <c r="Y5" s="143">
        <f aca="true" t="shared" si="8" ref="Y5:AD5">$BF5+5.75%</f>
        <v>0.060000000000000005</v>
      </c>
      <c r="Z5" s="143">
        <f t="shared" si="8"/>
        <v>0.060000000000000005</v>
      </c>
      <c r="AA5" s="143">
        <f t="shared" si="8"/>
        <v>0.060000000000000005</v>
      </c>
      <c r="AB5" s="143">
        <f t="shared" si="8"/>
        <v>0.060000000000000005</v>
      </c>
      <c r="AC5" s="143">
        <f t="shared" si="8"/>
        <v>0.060000000000000005</v>
      </c>
      <c r="AD5" s="143">
        <f t="shared" si="8"/>
        <v>0.060000000000000005</v>
      </c>
      <c r="AE5" s="143"/>
      <c r="AF5" s="143"/>
      <c r="AG5" s="143"/>
      <c r="AH5" s="144">
        <v>0.56</v>
      </c>
      <c r="AI5" s="144">
        <v>0.56</v>
      </c>
      <c r="AJ5" s="144">
        <v>0.58</v>
      </c>
      <c r="AK5" s="144">
        <v>0.58</v>
      </c>
      <c r="AL5" s="144">
        <v>0.58</v>
      </c>
      <c r="AM5" s="144">
        <v>0.58</v>
      </c>
      <c r="AN5" s="144">
        <v>0.58</v>
      </c>
      <c r="AO5" s="144">
        <v>0.58</v>
      </c>
      <c r="AP5" s="144">
        <v>0.58</v>
      </c>
      <c r="AQ5" s="144">
        <v>0.58</v>
      </c>
      <c r="AR5" s="144">
        <v>0.58</v>
      </c>
      <c r="AS5" s="144">
        <v>0.58</v>
      </c>
      <c r="AT5" s="144">
        <v>0.58</v>
      </c>
      <c r="AU5" s="144">
        <v>0.58</v>
      </c>
      <c r="AV5" s="144">
        <v>0.52</v>
      </c>
      <c r="AW5" s="144">
        <v>0.5</v>
      </c>
      <c r="AX5" s="144">
        <v>0.5</v>
      </c>
      <c r="AY5" s="144">
        <v>0.5</v>
      </c>
      <c r="AZ5" s="144">
        <v>0.5</v>
      </c>
      <c r="BA5" s="144">
        <v>0.5</v>
      </c>
      <c r="BB5" s="144">
        <v>0.5</v>
      </c>
      <c r="BC5" s="144"/>
      <c r="BD5" s="144"/>
      <c r="BE5" s="144"/>
      <c r="BF5" s="39">
        <v>0.0025</v>
      </c>
    </row>
    <row r="6" spans="1:58" ht="12.75">
      <c r="A6" s="85" t="s">
        <v>2777</v>
      </c>
      <c r="B6" s="86" t="s">
        <v>2778</v>
      </c>
      <c r="C6" s="87" t="str">
        <f t="shared" si="2"/>
        <v>2 lat/a od dnia zakupu</v>
      </c>
      <c r="D6" s="87">
        <v>44805</v>
      </c>
      <c r="E6" s="87">
        <v>44834</v>
      </c>
      <c r="F6" s="88">
        <v>100</v>
      </c>
      <c r="G6" s="88">
        <v>99.9</v>
      </c>
      <c r="H6" s="142">
        <v>196.175</v>
      </c>
      <c r="I6" s="142">
        <v>35.3188</v>
      </c>
      <c r="J6" s="143">
        <v>0.0675</v>
      </c>
      <c r="K6" s="143">
        <f aca="true" t="shared" si="9" ref="K6:R12">$BF6+6.75%</f>
        <v>0.07</v>
      </c>
      <c r="L6" s="143">
        <f t="shared" si="9"/>
        <v>0.07</v>
      </c>
      <c r="M6" s="143">
        <f t="shared" si="9"/>
        <v>0.07</v>
      </c>
      <c r="N6" s="143">
        <f t="shared" si="9"/>
        <v>0.07</v>
      </c>
      <c r="O6" s="143">
        <f t="shared" si="9"/>
        <v>0.07</v>
      </c>
      <c r="P6" s="143">
        <f t="shared" si="9"/>
        <v>0.07</v>
      </c>
      <c r="Q6" s="143">
        <f aca="true" t="shared" si="10" ref="Q6:V6">$BF6+6.75%</f>
        <v>0.07</v>
      </c>
      <c r="R6" s="143">
        <f t="shared" si="10"/>
        <v>0.07</v>
      </c>
      <c r="S6" s="143">
        <f t="shared" si="10"/>
        <v>0.07</v>
      </c>
      <c r="T6" s="143">
        <f t="shared" si="10"/>
        <v>0.07</v>
      </c>
      <c r="U6" s="143">
        <f t="shared" si="10"/>
        <v>0.07</v>
      </c>
      <c r="V6" s="143">
        <f t="shared" si="10"/>
        <v>0.07</v>
      </c>
      <c r="W6" s="143">
        <f>$BF6+6%</f>
        <v>0.0625</v>
      </c>
      <c r="X6" s="143">
        <f aca="true" t="shared" si="11" ref="X6:AC6">$BF6+5.75%</f>
        <v>0.060000000000000005</v>
      </c>
      <c r="Y6" s="143">
        <f t="shared" si="11"/>
        <v>0.060000000000000005</v>
      </c>
      <c r="Z6" s="143">
        <f t="shared" si="11"/>
        <v>0.060000000000000005</v>
      </c>
      <c r="AA6" s="143">
        <f t="shared" si="11"/>
        <v>0.060000000000000005</v>
      </c>
      <c r="AB6" s="143">
        <f t="shared" si="11"/>
        <v>0.060000000000000005</v>
      </c>
      <c r="AC6" s="143">
        <f t="shared" si="11"/>
        <v>0.060000000000000005</v>
      </c>
      <c r="AD6" s="143"/>
      <c r="AE6" s="143"/>
      <c r="AF6" s="143"/>
      <c r="AG6" s="143"/>
      <c r="AH6" s="144">
        <v>0.56</v>
      </c>
      <c r="AI6" s="144">
        <v>0.58</v>
      </c>
      <c r="AJ6" s="144">
        <v>0.58</v>
      </c>
      <c r="AK6" s="144">
        <v>0.58</v>
      </c>
      <c r="AL6" s="144">
        <v>0.58</v>
      </c>
      <c r="AM6" s="144">
        <v>0.58</v>
      </c>
      <c r="AN6" s="144">
        <v>0.58</v>
      </c>
      <c r="AO6" s="144">
        <v>0.58</v>
      </c>
      <c r="AP6" s="144">
        <v>0.58</v>
      </c>
      <c r="AQ6" s="144">
        <v>0.58</v>
      </c>
      <c r="AR6" s="144">
        <v>0.58</v>
      </c>
      <c r="AS6" s="144">
        <v>0.58</v>
      </c>
      <c r="AT6" s="144">
        <v>0.58</v>
      </c>
      <c r="AU6" s="144">
        <v>0.52</v>
      </c>
      <c r="AV6" s="144">
        <v>0.5</v>
      </c>
      <c r="AW6" s="144">
        <v>0.5</v>
      </c>
      <c r="AX6" s="144">
        <v>0.5</v>
      </c>
      <c r="AY6" s="144">
        <v>0.5</v>
      </c>
      <c r="AZ6" s="144">
        <v>0.5</v>
      </c>
      <c r="BA6" s="144">
        <v>0.5</v>
      </c>
      <c r="BB6" s="144"/>
      <c r="BC6" s="144"/>
      <c r="BD6" s="144"/>
      <c r="BE6" s="144"/>
      <c r="BF6" s="39">
        <v>0.0025</v>
      </c>
    </row>
    <row r="7" spans="1:58" ht="12.75">
      <c r="A7" s="85" t="s">
        <v>2779</v>
      </c>
      <c r="B7" s="86" t="s">
        <v>2780</v>
      </c>
      <c r="C7" s="87" t="str">
        <f t="shared" si="2"/>
        <v>2 lat/a od dnia zakupu</v>
      </c>
      <c r="D7" s="87">
        <v>44835</v>
      </c>
      <c r="E7" s="87">
        <v>44865</v>
      </c>
      <c r="F7" s="88">
        <v>100</v>
      </c>
      <c r="G7" s="88">
        <v>99.9</v>
      </c>
      <c r="H7" s="142">
        <v>138.52960000000002</v>
      </c>
      <c r="I7" s="142">
        <v>37.408</v>
      </c>
      <c r="J7" s="143">
        <v>0.0685</v>
      </c>
      <c r="K7" s="143">
        <f t="shared" si="9"/>
        <v>0.0685</v>
      </c>
      <c r="L7" s="143">
        <f t="shared" si="9"/>
        <v>0.0685</v>
      </c>
      <c r="M7" s="143">
        <f t="shared" si="9"/>
        <v>0.0685</v>
      </c>
      <c r="N7" s="143">
        <f t="shared" si="9"/>
        <v>0.0685</v>
      </c>
      <c r="O7" s="143">
        <f t="shared" si="9"/>
        <v>0.0685</v>
      </c>
      <c r="P7" s="143">
        <f t="shared" si="9"/>
        <v>0.0685</v>
      </c>
      <c r="Q7" s="143">
        <f t="shared" si="9"/>
        <v>0.0685</v>
      </c>
      <c r="R7" s="143">
        <f t="shared" si="9"/>
        <v>0.0685</v>
      </c>
      <c r="S7" s="143">
        <f>$BF7+6.75%</f>
        <v>0.0685</v>
      </c>
      <c r="T7" s="143">
        <f>$BF7+6.75%</f>
        <v>0.0685</v>
      </c>
      <c r="U7" s="143">
        <f>$BF7+6.75%</f>
        <v>0.0685</v>
      </c>
      <c r="V7" s="143">
        <f>$BF7+6%</f>
        <v>0.061</v>
      </c>
      <c r="W7" s="143">
        <f aca="true" t="shared" si="12" ref="W7:AB7">$BF7+5.75%</f>
        <v>0.0585</v>
      </c>
      <c r="X7" s="143">
        <f t="shared" si="12"/>
        <v>0.0585</v>
      </c>
      <c r="Y7" s="143">
        <f t="shared" si="12"/>
        <v>0.0585</v>
      </c>
      <c r="Z7" s="143">
        <f t="shared" si="12"/>
        <v>0.0585</v>
      </c>
      <c r="AA7" s="143">
        <f t="shared" si="12"/>
        <v>0.0585</v>
      </c>
      <c r="AB7" s="143">
        <f t="shared" si="12"/>
        <v>0.0585</v>
      </c>
      <c r="AC7" s="143"/>
      <c r="AD7" s="143"/>
      <c r="AE7" s="143"/>
      <c r="AF7" s="143"/>
      <c r="AG7" s="143"/>
      <c r="AH7" s="144">
        <v>0.57</v>
      </c>
      <c r="AI7" s="144">
        <v>0.57</v>
      </c>
      <c r="AJ7" s="144">
        <v>0.57</v>
      </c>
      <c r="AK7" s="144">
        <v>0.57</v>
      </c>
      <c r="AL7" s="144">
        <v>0.57</v>
      </c>
      <c r="AM7" s="144">
        <v>0.57</v>
      </c>
      <c r="AN7" s="144">
        <v>0.57</v>
      </c>
      <c r="AO7" s="144">
        <v>0.57</v>
      </c>
      <c r="AP7" s="144">
        <v>0.57</v>
      </c>
      <c r="AQ7" s="144">
        <v>0.57</v>
      </c>
      <c r="AR7" s="144">
        <v>0.57</v>
      </c>
      <c r="AS7" s="144">
        <v>0.57</v>
      </c>
      <c r="AT7" s="144">
        <v>0.51</v>
      </c>
      <c r="AU7" s="144">
        <v>0.49</v>
      </c>
      <c r="AV7" s="144">
        <v>0.49</v>
      </c>
      <c r="AW7" s="144">
        <v>0.49</v>
      </c>
      <c r="AX7" s="144">
        <v>0.49</v>
      </c>
      <c r="AY7" s="144">
        <v>0.49</v>
      </c>
      <c r="AZ7" s="144">
        <v>0.49</v>
      </c>
      <c r="BA7" s="144"/>
      <c r="BB7" s="144"/>
      <c r="BC7" s="144"/>
      <c r="BD7" s="144"/>
      <c r="BE7" s="144"/>
      <c r="BF7" s="39">
        <v>0.001</v>
      </c>
    </row>
    <row r="8" spans="1:58" ht="12.75">
      <c r="A8" s="85" t="s">
        <v>2781</v>
      </c>
      <c r="B8" s="86" t="s">
        <v>2782</v>
      </c>
      <c r="C8" s="87" t="str">
        <f t="shared" si="2"/>
        <v>2 lat/a od dnia zakupu</v>
      </c>
      <c r="D8" s="87">
        <v>44866</v>
      </c>
      <c r="E8" s="87">
        <v>44895</v>
      </c>
      <c r="F8" s="88">
        <v>100</v>
      </c>
      <c r="G8" s="88">
        <v>99.9</v>
      </c>
      <c r="H8" s="142">
        <v>71.4291</v>
      </c>
      <c r="I8" s="142">
        <v>19.4947</v>
      </c>
      <c r="J8" s="143">
        <v>0.0685</v>
      </c>
      <c r="K8" s="143">
        <f t="shared" si="9"/>
        <v>0.0685</v>
      </c>
      <c r="L8" s="143">
        <f t="shared" si="9"/>
        <v>0.0685</v>
      </c>
      <c r="M8" s="143">
        <f t="shared" si="9"/>
        <v>0.0685</v>
      </c>
      <c r="N8" s="143">
        <f t="shared" si="9"/>
        <v>0.0685</v>
      </c>
      <c r="O8" s="143">
        <f t="shared" si="9"/>
        <v>0.0685</v>
      </c>
      <c r="P8" s="143">
        <f t="shared" si="9"/>
        <v>0.0685</v>
      </c>
      <c r="Q8" s="143">
        <f>$BF8+6.75%</f>
        <v>0.0685</v>
      </c>
      <c r="R8" s="143">
        <f>$BF8+6.75%</f>
        <v>0.0685</v>
      </c>
      <c r="S8" s="143">
        <f>$BF8+6.75%</f>
        <v>0.0685</v>
      </c>
      <c r="T8" s="143">
        <f>$BF8+6.75%</f>
        <v>0.0685</v>
      </c>
      <c r="U8" s="143">
        <f>$BF8+6%</f>
        <v>0.061</v>
      </c>
      <c r="V8" s="143">
        <f aca="true" t="shared" si="13" ref="V8:AA8">$BF8+5.75%</f>
        <v>0.0585</v>
      </c>
      <c r="W8" s="143">
        <f t="shared" si="13"/>
        <v>0.0585</v>
      </c>
      <c r="X8" s="143">
        <f t="shared" si="13"/>
        <v>0.0585</v>
      </c>
      <c r="Y8" s="143">
        <f t="shared" si="13"/>
        <v>0.0585</v>
      </c>
      <c r="Z8" s="143">
        <f t="shared" si="13"/>
        <v>0.0585</v>
      </c>
      <c r="AA8" s="143">
        <f t="shared" si="13"/>
        <v>0.0585</v>
      </c>
      <c r="AB8" s="143"/>
      <c r="AC8" s="143"/>
      <c r="AD8" s="143"/>
      <c r="AE8" s="143"/>
      <c r="AF8" s="143"/>
      <c r="AG8" s="143"/>
      <c r="AH8" s="144">
        <v>0.57</v>
      </c>
      <c r="AI8" s="144">
        <v>0.57</v>
      </c>
      <c r="AJ8" s="144">
        <v>0.57</v>
      </c>
      <c r="AK8" s="144">
        <v>0.57</v>
      </c>
      <c r="AL8" s="144">
        <v>0.57</v>
      </c>
      <c r="AM8" s="144">
        <v>0.57</v>
      </c>
      <c r="AN8" s="144">
        <v>0.57</v>
      </c>
      <c r="AO8" s="144">
        <v>0.57</v>
      </c>
      <c r="AP8" s="144">
        <v>0.57</v>
      </c>
      <c r="AQ8" s="144">
        <v>0.57</v>
      </c>
      <c r="AR8" s="144">
        <v>0.57</v>
      </c>
      <c r="AS8" s="144">
        <v>0.51</v>
      </c>
      <c r="AT8" s="144">
        <v>0.49</v>
      </c>
      <c r="AU8" s="144">
        <v>0.49</v>
      </c>
      <c r="AV8" s="144">
        <v>0.49</v>
      </c>
      <c r="AW8" s="144">
        <v>0.49</v>
      </c>
      <c r="AX8" s="144">
        <v>0.49</v>
      </c>
      <c r="AY8" s="144">
        <v>0.49</v>
      </c>
      <c r="AZ8" s="144"/>
      <c r="BA8" s="144"/>
      <c r="BB8" s="144"/>
      <c r="BC8" s="144"/>
      <c r="BD8" s="144"/>
      <c r="BE8" s="144"/>
      <c r="BF8" s="39">
        <v>0.001</v>
      </c>
    </row>
    <row r="9" spans="1:58" ht="12.75">
      <c r="A9" s="90" t="s">
        <v>2783</v>
      </c>
      <c r="B9" s="91" t="s">
        <v>2784</v>
      </c>
      <c r="C9" s="92" t="str">
        <f t="shared" si="2"/>
        <v>2 lat/a od dnia zakupu</v>
      </c>
      <c r="D9" s="92">
        <v>44896</v>
      </c>
      <c r="E9" s="92">
        <v>44926</v>
      </c>
      <c r="F9" s="93">
        <v>100</v>
      </c>
      <c r="G9" s="93">
        <v>99.9</v>
      </c>
      <c r="H9" s="147">
        <v>68.8718</v>
      </c>
      <c r="I9" s="147">
        <v>20.8891</v>
      </c>
      <c r="J9" s="148">
        <v>0.0685</v>
      </c>
      <c r="K9" s="148">
        <f t="shared" si="9"/>
        <v>0.0685</v>
      </c>
      <c r="L9" s="148">
        <f t="shared" si="9"/>
        <v>0.0685</v>
      </c>
      <c r="M9" s="148">
        <f t="shared" si="9"/>
        <v>0.0685</v>
      </c>
      <c r="N9" s="148">
        <f aca="true" t="shared" si="14" ref="N9:S9">$BF9+6.75%</f>
        <v>0.0685</v>
      </c>
      <c r="O9" s="148">
        <f t="shared" si="14"/>
        <v>0.0685</v>
      </c>
      <c r="P9" s="148">
        <f t="shared" si="14"/>
        <v>0.0685</v>
      </c>
      <c r="Q9" s="148">
        <f t="shared" si="14"/>
        <v>0.0685</v>
      </c>
      <c r="R9" s="148">
        <f t="shared" si="14"/>
        <v>0.0685</v>
      </c>
      <c r="S9" s="148">
        <f t="shared" si="14"/>
        <v>0.0685</v>
      </c>
      <c r="T9" s="148">
        <f>$BF9+6%</f>
        <v>0.061</v>
      </c>
      <c r="U9" s="148">
        <f aca="true" t="shared" si="15" ref="U9:Z9">$BF9+5.75%</f>
        <v>0.0585</v>
      </c>
      <c r="V9" s="148">
        <f t="shared" si="15"/>
        <v>0.0585</v>
      </c>
      <c r="W9" s="148">
        <f t="shared" si="15"/>
        <v>0.0585</v>
      </c>
      <c r="X9" s="148">
        <f t="shared" si="15"/>
        <v>0.0585</v>
      </c>
      <c r="Y9" s="148">
        <f t="shared" si="15"/>
        <v>0.0585</v>
      </c>
      <c r="Z9" s="148">
        <f t="shared" si="15"/>
        <v>0.0585</v>
      </c>
      <c r="AA9" s="148"/>
      <c r="AB9" s="148"/>
      <c r="AC9" s="148"/>
      <c r="AD9" s="148"/>
      <c r="AE9" s="148"/>
      <c r="AF9" s="148"/>
      <c r="AG9" s="148"/>
      <c r="AH9" s="149">
        <v>0.57</v>
      </c>
      <c r="AI9" s="149">
        <v>0.57</v>
      </c>
      <c r="AJ9" s="149">
        <v>0.57</v>
      </c>
      <c r="AK9" s="149">
        <v>0.57</v>
      </c>
      <c r="AL9" s="149">
        <v>0.57</v>
      </c>
      <c r="AM9" s="149">
        <v>0.57</v>
      </c>
      <c r="AN9" s="149">
        <v>0.57</v>
      </c>
      <c r="AO9" s="149">
        <v>0.57</v>
      </c>
      <c r="AP9" s="149">
        <v>0.57</v>
      </c>
      <c r="AQ9" s="149">
        <v>0.57</v>
      </c>
      <c r="AR9" s="149">
        <v>0.51</v>
      </c>
      <c r="AS9" s="149">
        <v>0.49</v>
      </c>
      <c r="AT9" s="149">
        <v>0.49</v>
      </c>
      <c r="AU9" s="149">
        <v>0.49</v>
      </c>
      <c r="AV9" s="149">
        <v>0.49</v>
      </c>
      <c r="AW9" s="149">
        <v>0.49</v>
      </c>
      <c r="AX9" s="149">
        <v>0.49</v>
      </c>
      <c r="AY9" s="149"/>
      <c r="AZ9" s="149"/>
      <c r="BA9" s="149"/>
      <c r="BB9" s="149"/>
      <c r="BC9" s="149"/>
      <c r="BD9" s="149"/>
      <c r="BE9" s="149"/>
      <c r="BF9" s="41">
        <v>0.001</v>
      </c>
    </row>
    <row r="10" spans="1:58" ht="12.75">
      <c r="A10" s="85" t="s">
        <v>2785</v>
      </c>
      <c r="B10" s="86" t="s">
        <v>2786</v>
      </c>
      <c r="C10" s="87" t="str">
        <f t="shared" si="2"/>
        <v>2 lat/a od dnia zakupu</v>
      </c>
      <c r="D10" s="87">
        <v>44927</v>
      </c>
      <c r="E10" s="87">
        <v>44957</v>
      </c>
      <c r="F10" s="88">
        <v>100</v>
      </c>
      <c r="G10" s="88">
        <v>99.9</v>
      </c>
      <c r="H10" s="142">
        <v>58.260299999999994</v>
      </c>
      <c r="I10" s="142">
        <v>16.3629</v>
      </c>
      <c r="J10" s="143">
        <v>0.0685</v>
      </c>
      <c r="K10" s="143">
        <f t="shared" si="9"/>
        <v>0.0685</v>
      </c>
      <c r="L10" s="143">
        <f t="shared" si="9"/>
        <v>0.0685</v>
      </c>
      <c r="M10" s="143">
        <f t="shared" si="9"/>
        <v>0.0685</v>
      </c>
      <c r="N10" s="143">
        <f t="shared" si="9"/>
        <v>0.0685</v>
      </c>
      <c r="O10" s="143">
        <f t="shared" si="9"/>
        <v>0.0685</v>
      </c>
      <c r="P10" s="143">
        <f t="shared" si="9"/>
        <v>0.0685</v>
      </c>
      <c r="Q10" s="143">
        <f t="shared" si="9"/>
        <v>0.0685</v>
      </c>
      <c r="R10" s="143">
        <f t="shared" si="9"/>
        <v>0.0685</v>
      </c>
      <c r="S10" s="143">
        <f>$BF10+6%</f>
        <v>0.061</v>
      </c>
      <c r="T10" s="143">
        <f aca="true" t="shared" si="16" ref="T10:Y10">$BF10+5.75%</f>
        <v>0.0585</v>
      </c>
      <c r="U10" s="143">
        <f t="shared" si="16"/>
        <v>0.0585</v>
      </c>
      <c r="V10" s="143">
        <f t="shared" si="16"/>
        <v>0.0585</v>
      </c>
      <c r="W10" s="143">
        <f t="shared" si="16"/>
        <v>0.0585</v>
      </c>
      <c r="X10" s="143">
        <f t="shared" si="16"/>
        <v>0.0585</v>
      </c>
      <c r="Y10" s="143">
        <f t="shared" si="16"/>
        <v>0.0585</v>
      </c>
      <c r="Z10" s="143"/>
      <c r="AA10" s="143"/>
      <c r="AB10" s="143"/>
      <c r="AC10" s="143"/>
      <c r="AD10" s="143"/>
      <c r="AE10" s="143"/>
      <c r="AF10" s="143"/>
      <c r="AG10" s="143"/>
      <c r="AH10" s="144">
        <v>0.57</v>
      </c>
      <c r="AI10" s="144">
        <v>0.57</v>
      </c>
      <c r="AJ10" s="144">
        <v>0.57</v>
      </c>
      <c r="AK10" s="144">
        <v>0.57</v>
      </c>
      <c r="AL10" s="144">
        <v>0.57</v>
      </c>
      <c r="AM10" s="144">
        <v>0.57</v>
      </c>
      <c r="AN10" s="144">
        <v>0.57</v>
      </c>
      <c r="AO10" s="144">
        <v>0.57</v>
      </c>
      <c r="AP10" s="144">
        <v>0.57</v>
      </c>
      <c r="AQ10" s="144">
        <v>0.51</v>
      </c>
      <c r="AR10" s="144">
        <v>0.49</v>
      </c>
      <c r="AS10" s="144">
        <v>0.49</v>
      </c>
      <c r="AT10" s="144">
        <v>0.49</v>
      </c>
      <c r="AU10" s="144">
        <v>0.49</v>
      </c>
      <c r="AV10" s="144">
        <v>0.49</v>
      </c>
      <c r="AW10" s="144">
        <v>0.49</v>
      </c>
      <c r="AX10" s="144"/>
      <c r="AY10" s="144"/>
      <c r="AZ10" s="144"/>
      <c r="BA10" s="144"/>
      <c r="BB10" s="144"/>
      <c r="BC10" s="144"/>
      <c r="BD10" s="144"/>
      <c r="BE10" s="144"/>
      <c r="BF10" s="39">
        <v>0.001</v>
      </c>
    </row>
    <row r="11" spans="1:58" ht="12.75">
      <c r="A11" s="85" t="s">
        <v>2787</v>
      </c>
      <c r="B11" s="86" t="s">
        <v>2788</v>
      </c>
      <c r="C11" s="87" t="str">
        <f t="shared" si="2"/>
        <v>2 lat/a od dnia zakupu</v>
      </c>
      <c r="D11" s="87">
        <v>44958</v>
      </c>
      <c r="E11" s="87">
        <v>44985</v>
      </c>
      <c r="F11" s="88">
        <v>100</v>
      </c>
      <c r="G11" s="88">
        <v>99.9</v>
      </c>
      <c r="H11" s="142">
        <v>54.9058</v>
      </c>
      <c r="I11" s="142">
        <v>15.8185</v>
      </c>
      <c r="J11" s="143">
        <v>0.0685</v>
      </c>
      <c r="K11" s="143">
        <f t="shared" si="9"/>
        <v>0.0685</v>
      </c>
      <c r="L11" s="143">
        <f t="shared" si="9"/>
        <v>0.0685</v>
      </c>
      <c r="M11" s="143">
        <f t="shared" si="9"/>
        <v>0.0685</v>
      </c>
      <c r="N11" s="143">
        <f t="shared" si="9"/>
        <v>0.0685</v>
      </c>
      <c r="O11" s="143">
        <f t="shared" si="9"/>
        <v>0.0685</v>
      </c>
      <c r="P11" s="143">
        <f t="shared" si="9"/>
        <v>0.0685</v>
      </c>
      <c r="Q11" s="143">
        <f t="shared" si="9"/>
        <v>0.0685</v>
      </c>
      <c r="R11" s="143">
        <f>$BF11+6%</f>
        <v>0.061</v>
      </c>
      <c r="S11" s="143">
        <f aca="true" t="shared" si="17" ref="S11:X11">$BF11+5.75%</f>
        <v>0.0585</v>
      </c>
      <c r="T11" s="143">
        <f t="shared" si="17"/>
        <v>0.0585</v>
      </c>
      <c r="U11" s="143">
        <f t="shared" si="17"/>
        <v>0.0585</v>
      </c>
      <c r="V11" s="143">
        <f t="shared" si="17"/>
        <v>0.0585</v>
      </c>
      <c r="W11" s="143">
        <f t="shared" si="17"/>
        <v>0.0585</v>
      </c>
      <c r="X11" s="143">
        <f t="shared" si="17"/>
        <v>0.0585</v>
      </c>
      <c r="Y11" s="143"/>
      <c r="Z11" s="143"/>
      <c r="AA11" s="143"/>
      <c r="AB11" s="143"/>
      <c r="AC11" s="143"/>
      <c r="AD11" s="143"/>
      <c r="AE11" s="143"/>
      <c r="AF11" s="143"/>
      <c r="AG11" s="143"/>
      <c r="AH11" s="144">
        <v>0.57</v>
      </c>
      <c r="AI11" s="144">
        <v>0.57</v>
      </c>
      <c r="AJ11" s="144">
        <v>0.57</v>
      </c>
      <c r="AK11" s="144">
        <v>0.57</v>
      </c>
      <c r="AL11" s="144">
        <v>0.57</v>
      </c>
      <c r="AM11" s="144">
        <v>0.57</v>
      </c>
      <c r="AN11" s="144">
        <v>0.57</v>
      </c>
      <c r="AO11" s="144">
        <v>0.57</v>
      </c>
      <c r="AP11" s="144">
        <v>0.51</v>
      </c>
      <c r="AQ11" s="144">
        <v>0.49</v>
      </c>
      <c r="AR11" s="144">
        <v>0.49</v>
      </c>
      <c r="AS11" s="144">
        <v>0.49</v>
      </c>
      <c r="AT11" s="144">
        <v>0.49</v>
      </c>
      <c r="AU11" s="144">
        <v>0.49</v>
      </c>
      <c r="AV11" s="144">
        <v>0.49</v>
      </c>
      <c r="AW11" s="144"/>
      <c r="AX11" s="144"/>
      <c r="AY11" s="144"/>
      <c r="AZ11" s="144"/>
      <c r="BA11" s="144"/>
      <c r="BB11" s="144"/>
      <c r="BC11" s="144"/>
      <c r="BD11" s="144"/>
      <c r="BE11" s="144"/>
      <c r="BF11" s="39">
        <v>0.001</v>
      </c>
    </row>
    <row r="12" spans="1:58" ht="12.75">
      <c r="A12" s="85" t="s">
        <v>2789</v>
      </c>
      <c r="B12" s="86" t="s">
        <v>2790</v>
      </c>
      <c r="C12" s="87" t="str">
        <f t="shared" si="2"/>
        <v>2 lat/a od dnia zakupu</v>
      </c>
      <c r="D12" s="87">
        <v>44986</v>
      </c>
      <c r="E12" s="87">
        <v>45016</v>
      </c>
      <c r="F12" s="88">
        <v>100</v>
      </c>
      <c r="G12" s="88">
        <v>99.9</v>
      </c>
      <c r="H12" s="142">
        <v>72.4315</v>
      </c>
      <c r="I12" s="142">
        <v>21.3372</v>
      </c>
      <c r="J12" s="143">
        <v>0.0685</v>
      </c>
      <c r="K12" s="143">
        <f t="shared" si="9"/>
        <v>0.0685</v>
      </c>
      <c r="L12" s="143">
        <f t="shared" si="9"/>
        <v>0.0685</v>
      </c>
      <c r="M12" s="143">
        <f t="shared" si="9"/>
        <v>0.0685</v>
      </c>
      <c r="N12" s="143">
        <f t="shared" si="9"/>
        <v>0.0685</v>
      </c>
      <c r="O12" s="143">
        <f t="shared" si="9"/>
        <v>0.0685</v>
      </c>
      <c r="P12" s="143">
        <f t="shared" si="9"/>
        <v>0.0685</v>
      </c>
      <c r="Q12" s="143">
        <f>$BF12+6%</f>
        <v>0.061</v>
      </c>
      <c r="R12" s="143">
        <f aca="true" t="shared" si="18" ref="R12:W12">$BF12+5.75%</f>
        <v>0.0585</v>
      </c>
      <c r="S12" s="143">
        <f t="shared" si="18"/>
        <v>0.0585</v>
      </c>
      <c r="T12" s="143">
        <f t="shared" si="18"/>
        <v>0.0585</v>
      </c>
      <c r="U12" s="143">
        <f t="shared" si="18"/>
        <v>0.0585</v>
      </c>
      <c r="V12" s="143">
        <f t="shared" si="18"/>
        <v>0.0585</v>
      </c>
      <c r="W12" s="143">
        <f t="shared" si="18"/>
        <v>0.0585</v>
      </c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4">
        <v>0.57</v>
      </c>
      <c r="AI12" s="144">
        <v>0.57</v>
      </c>
      <c r="AJ12" s="144">
        <v>0.57</v>
      </c>
      <c r="AK12" s="144">
        <v>0.57</v>
      </c>
      <c r="AL12" s="144">
        <v>0.57</v>
      </c>
      <c r="AM12" s="144">
        <v>0.57</v>
      </c>
      <c r="AN12" s="144">
        <v>0.57</v>
      </c>
      <c r="AO12" s="144">
        <v>0.51</v>
      </c>
      <c r="AP12" s="144">
        <v>0.49</v>
      </c>
      <c r="AQ12" s="144">
        <v>0.49</v>
      </c>
      <c r="AR12" s="144">
        <v>0.49</v>
      </c>
      <c r="AS12" s="144">
        <v>0.49</v>
      </c>
      <c r="AT12" s="144">
        <v>0.49</v>
      </c>
      <c r="AU12" s="144">
        <v>0.49</v>
      </c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39">
        <v>0.001</v>
      </c>
    </row>
    <row r="13" spans="1:58" ht="12.75">
      <c r="A13" s="85" t="s">
        <v>2791</v>
      </c>
      <c r="B13" s="86" t="s">
        <v>2792</v>
      </c>
      <c r="C13" s="87" t="str">
        <f t="shared" si="2"/>
        <v>2 lat/a od dnia zakupu</v>
      </c>
      <c r="D13" s="87">
        <v>45017</v>
      </c>
      <c r="E13" s="87">
        <v>45046</v>
      </c>
      <c r="F13" s="88">
        <v>100</v>
      </c>
      <c r="G13" s="88">
        <v>99.9</v>
      </c>
      <c r="H13" s="142">
        <v>63.4022</v>
      </c>
      <c r="I13" s="142">
        <v>20.0614</v>
      </c>
      <c r="J13" s="143">
        <v>0.0685</v>
      </c>
      <c r="K13" s="143">
        <f>$BF13+6.75%</f>
        <v>0.0685</v>
      </c>
      <c r="L13" s="143">
        <f>$BF13+6.75%</f>
        <v>0.0685</v>
      </c>
      <c r="M13" s="143">
        <f>$BF13+6.75%</f>
        <v>0.0685</v>
      </c>
      <c r="N13" s="143">
        <f>$BF13+6.75%</f>
        <v>0.0685</v>
      </c>
      <c r="O13" s="143">
        <f>$BF13+6.75%</f>
        <v>0.0685</v>
      </c>
      <c r="P13" s="143">
        <f>$BF13+6%</f>
        <v>0.061</v>
      </c>
      <c r="Q13" s="143">
        <f aca="true" t="shared" si="19" ref="Q13:V13">$BF13+5.75%</f>
        <v>0.0585</v>
      </c>
      <c r="R13" s="143">
        <f t="shared" si="19"/>
        <v>0.0585</v>
      </c>
      <c r="S13" s="143">
        <f t="shared" si="19"/>
        <v>0.0585</v>
      </c>
      <c r="T13" s="143">
        <f t="shared" si="19"/>
        <v>0.0585</v>
      </c>
      <c r="U13" s="143">
        <f t="shared" si="19"/>
        <v>0.0585</v>
      </c>
      <c r="V13" s="143">
        <f t="shared" si="19"/>
        <v>0.0585</v>
      </c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4">
        <v>0.57</v>
      </c>
      <c r="AI13" s="144">
        <v>0.57</v>
      </c>
      <c r="AJ13" s="144">
        <v>0.57</v>
      </c>
      <c r="AK13" s="144">
        <v>0.57</v>
      </c>
      <c r="AL13" s="144">
        <v>0.57</v>
      </c>
      <c r="AM13" s="144">
        <v>0.57</v>
      </c>
      <c r="AN13" s="144">
        <v>0.51</v>
      </c>
      <c r="AO13" s="144">
        <v>0.49</v>
      </c>
      <c r="AP13" s="144">
        <v>0.49</v>
      </c>
      <c r="AQ13" s="144">
        <v>0.49</v>
      </c>
      <c r="AR13" s="144">
        <v>0.49</v>
      </c>
      <c r="AS13" s="144">
        <v>0.49</v>
      </c>
      <c r="AT13" s="144">
        <v>0.49</v>
      </c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39">
        <v>0.001</v>
      </c>
    </row>
    <row r="14" spans="1:58" ht="12.75">
      <c r="A14" s="85" t="s">
        <v>2793</v>
      </c>
      <c r="B14" s="86" t="s">
        <v>2794</v>
      </c>
      <c r="C14" s="87" t="str">
        <f t="shared" si="2"/>
        <v>2 lat/a od dnia zakupu</v>
      </c>
      <c r="D14" s="87">
        <v>45047</v>
      </c>
      <c r="E14" s="87">
        <v>45077</v>
      </c>
      <c r="F14" s="88">
        <v>100</v>
      </c>
      <c r="G14" s="88">
        <v>99.9</v>
      </c>
      <c r="H14" s="142">
        <v>65.518</v>
      </c>
      <c r="I14" s="142">
        <v>16.7396</v>
      </c>
      <c r="J14" s="143">
        <v>0.0685</v>
      </c>
      <c r="K14" s="143">
        <f>$BF14+6.75%</f>
        <v>0.0685</v>
      </c>
      <c r="L14" s="143">
        <f>$BF14+6.75%</f>
        <v>0.0685</v>
      </c>
      <c r="M14" s="143">
        <f>$BF14+6.75%</f>
        <v>0.0685</v>
      </c>
      <c r="N14" s="143">
        <f>$BF14+6.75%</f>
        <v>0.0685</v>
      </c>
      <c r="O14" s="143">
        <f>$BF14+6%</f>
        <v>0.061</v>
      </c>
      <c r="P14" s="143">
        <f aca="true" t="shared" si="20" ref="P14:U14">$BF14+5.75%</f>
        <v>0.0585</v>
      </c>
      <c r="Q14" s="143">
        <f t="shared" si="20"/>
        <v>0.0585</v>
      </c>
      <c r="R14" s="143">
        <f t="shared" si="20"/>
        <v>0.0585</v>
      </c>
      <c r="S14" s="143">
        <f t="shared" si="20"/>
        <v>0.0585</v>
      </c>
      <c r="T14" s="143">
        <f t="shared" si="20"/>
        <v>0.0585</v>
      </c>
      <c r="U14" s="143">
        <f t="shared" si="20"/>
        <v>0.0585</v>
      </c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4">
        <v>0.57</v>
      </c>
      <c r="AI14" s="144">
        <v>0.57</v>
      </c>
      <c r="AJ14" s="144">
        <v>0.57</v>
      </c>
      <c r="AK14" s="144">
        <v>0.57</v>
      </c>
      <c r="AL14" s="144">
        <v>0.57</v>
      </c>
      <c r="AM14" s="144">
        <v>0.51</v>
      </c>
      <c r="AN14" s="144">
        <v>0.49</v>
      </c>
      <c r="AO14" s="144">
        <v>0.49</v>
      </c>
      <c r="AP14" s="144">
        <v>0.49</v>
      </c>
      <c r="AQ14" s="144">
        <v>0.49</v>
      </c>
      <c r="AR14" s="144">
        <v>0.49</v>
      </c>
      <c r="AS14" s="144">
        <v>0.49</v>
      </c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39">
        <v>0.001</v>
      </c>
    </row>
    <row r="15" spans="1:58" ht="12.75">
      <c r="A15" s="85" t="s">
        <v>2795</v>
      </c>
      <c r="B15" s="86" t="s">
        <v>2796</v>
      </c>
      <c r="C15" s="87" t="str">
        <f t="shared" si="2"/>
        <v>2 lat/a od dnia zakupu</v>
      </c>
      <c r="D15" s="87">
        <v>45078</v>
      </c>
      <c r="E15" s="87">
        <v>45107</v>
      </c>
      <c r="F15" s="88">
        <v>100</v>
      </c>
      <c r="G15" s="88">
        <v>99.7</v>
      </c>
      <c r="H15" s="142">
        <v>224.402</v>
      </c>
      <c r="I15" s="142">
        <v>128.8376</v>
      </c>
      <c r="J15" s="143">
        <v>0.0685</v>
      </c>
      <c r="K15" s="143">
        <f>$BF15+6.75%</f>
        <v>0.0685</v>
      </c>
      <c r="L15" s="143">
        <f>$BF15+6.75%</f>
        <v>0.0685</v>
      </c>
      <c r="M15" s="143">
        <f>$BF15+6.75%</f>
        <v>0.0685</v>
      </c>
      <c r="N15" s="143">
        <f>$BF15+6%</f>
        <v>0.061</v>
      </c>
      <c r="O15" s="143">
        <f aca="true" t="shared" si="21" ref="O15:T15">$BF15+5.75%</f>
        <v>0.0585</v>
      </c>
      <c r="P15" s="143">
        <f t="shared" si="21"/>
        <v>0.0585</v>
      </c>
      <c r="Q15" s="143">
        <f t="shared" si="21"/>
        <v>0.0585</v>
      </c>
      <c r="R15" s="143">
        <f t="shared" si="21"/>
        <v>0.0585</v>
      </c>
      <c r="S15" s="143">
        <f t="shared" si="21"/>
        <v>0.0585</v>
      </c>
      <c r="T15" s="143">
        <f t="shared" si="21"/>
        <v>0.0585</v>
      </c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4">
        <v>0.57</v>
      </c>
      <c r="AI15" s="144">
        <v>0.57</v>
      </c>
      <c r="AJ15" s="144">
        <v>0.57</v>
      </c>
      <c r="AK15" s="144">
        <v>0.57</v>
      </c>
      <c r="AL15" s="144">
        <v>0.51</v>
      </c>
      <c r="AM15" s="144">
        <v>0.49</v>
      </c>
      <c r="AN15" s="144">
        <v>0.49</v>
      </c>
      <c r="AO15" s="144">
        <v>0.49</v>
      </c>
      <c r="AP15" s="144">
        <v>0.49</v>
      </c>
      <c r="AQ15" s="144">
        <v>0.49</v>
      </c>
      <c r="AR15" s="144">
        <v>0.49</v>
      </c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39">
        <v>0.001</v>
      </c>
    </row>
    <row r="16" spans="1:58" ht="12.75">
      <c r="A16" s="85" t="s">
        <v>2797</v>
      </c>
      <c r="B16" s="86" t="s">
        <v>2798</v>
      </c>
      <c r="C16" s="87" t="str">
        <f t="shared" si="2"/>
        <v>2 lat/a od dnia zakupu</v>
      </c>
      <c r="D16" s="87">
        <v>45108</v>
      </c>
      <c r="E16" s="87">
        <v>45138</v>
      </c>
      <c r="F16" s="88">
        <v>100</v>
      </c>
      <c r="G16" s="88">
        <v>99.7</v>
      </c>
      <c r="H16" s="142">
        <v>192.3488</v>
      </c>
      <c r="I16" s="142">
        <v>96.6152</v>
      </c>
      <c r="J16" s="143">
        <v>0.0685</v>
      </c>
      <c r="K16" s="143">
        <f>$BF16+6.75%</f>
        <v>0.0685</v>
      </c>
      <c r="L16" s="143">
        <f>$BF16+6.75%</f>
        <v>0.0685</v>
      </c>
      <c r="M16" s="143">
        <f>$BF16+6%</f>
        <v>0.061</v>
      </c>
      <c r="N16" s="143">
        <f aca="true" t="shared" si="22" ref="N16:S16">$BF16+5.75%</f>
        <v>0.0585</v>
      </c>
      <c r="O16" s="143">
        <f t="shared" si="22"/>
        <v>0.0585</v>
      </c>
      <c r="P16" s="143">
        <f t="shared" si="22"/>
        <v>0.0585</v>
      </c>
      <c r="Q16" s="143">
        <f t="shared" si="22"/>
        <v>0.0585</v>
      </c>
      <c r="R16" s="143">
        <f t="shared" si="22"/>
        <v>0.0585</v>
      </c>
      <c r="S16" s="143">
        <f t="shared" si="22"/>
        <v>0.0585</v>
      </c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4">
        <v>0.57</v>
      </c>
      <c r="AI16" s="144">
        <v>0.57</v>
      </c>
      <c r="AJ16" s="144">
        <v>0.57</v>
      </c>
      <c r="AK16" s="144">
        <v>0.51</v>
      </c>
      <c r="AL16" s="144">
        <v>0.49</v>
      </c>
      <c r="AM16" s="144">
        <v>0.49</v>
      </c>
      <c r="AN16" s="144">
        <v>0.49</v>
      </c>
      <c r="AO16" s="144">
        <v>0.49</v>
      </c>
      <c r="AP16" s="144">
        <v>0.49</v>
      </c>
      <c r="AQ16" s="144">
        <v>0.49</v>
      </c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39">
        <v>0.001</v>
      </c>
    </row>
    <row r="17" spans="1:58" ht="12.75">
      <c r="A17" s="85" t="s">
        <v>2799</v>
      </c>
      <c r="B17" s="86" t="s">
        <v>2800</v>
      </c>
      <c r="C17" s="87" t="str">
        <f t="shared" si="2"/>
        <v>2 lat/a od dnia zakupu</v>
      </c>
      <c r="D17" s="87">
        <v>45139</v>
      </c>
      <c r="E17" s="87">
        <v>45169</v>
      </c>
      <c r="F17" s="88">
        <v>100</v>
      </c>
      <c r="G17" s="88">
        <v>99.7</v>
      </c>
      <c r="H17" s="142">
        <v>167.3274</v>
      </c>
      <c r="I17" s="142">
        <v>65.2337</v>
      </c>
      <c r="J17" s="143">
        <v>0.0685</v>
      </c>
      <c r="K17" s="143">
        <f>$BF17+6.75%</f>
        <v>0.0685</v>
      </c>
      <c r="L17" s="143">
        <f>$BF17+6%</f>
        <v>0.061</v>
      </c>
      <c r="M17" s="143">
        <f aca="true" t="shared" si="23" ref="M17:R17">$BF17+5.75%</f>
        <v>0.0585</v>
      </c>
      <c r="N17" s="143">
        <f t="shared" si="23"/>
        <v>0.0585</v>
      </c>
      <c r="O17" s="143">
        <f t="shared" si="23"/>
        <v>0.0585</v>
      </c>
      <c r="P17" s="143">
        <f t="shared" si="23"/>
        <v>0.0585</v>
      </c>
      <c r="Q17" s="143">
        <f t="shared" si="23"/>
        <v>0.0585</v>
      </c>
      <c r="R17" s="143">
        <f t="shared" si="23"/>
        <v>0.0585</v>
      </c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4">
        <v>0.57</v>
      </c>
      <c r="AI17" s="144">
        <v>0.57</v>
      </c>
      <c r="AJ17" s="144">
        <v>0.51</v>
      </c>
      <c r="AK17" s="144">
        <v>0.49</v>
      </c>
      <c r="AL17" s="144">
        <v>0.49</v>
      </c>
      <c r="AM17" s="144">
        <v>0.49</v>
      </c>
      <c r="AN17" s="144">
        <v>0.49</v>
      </c>
      <c r="AO17" s="144">
        <v>0.49</v>
      </c>
      <c r="AP17" s="144">
        <v>0.49</v>
      </c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39">
        <v>0.001</v>
      </c>
    </row>
    <row r="18" spans="1:58" ht="12.75">
      <c r="A18" s="85" t="s">
        <v>2801</v>
      </c>
      <c r="B18" s="86" t="s">
        <v>2802</v>
      </c>
      <c r="C18" s="87" t="str">
        <f t="shared" si="2"/>
        <v>2 lat/a od dnia zakupu</v>
      </c>
      <c r="D18" s="87">
        <v>45170</v>
      </c>
      <c r="E18" s="87">
        <v>45199</v>
      </c>
      <c r="F18" s="88">
        <v>100</v>
      </c>
      <c r="G18" s="88">
        <v>99.9</v>
      </c>
      <c r="H18" s="142">
        <v>98.9347</v>
      </c>
      <c r="I18" s="142">
        <v>27.1915</v>
      </c>
      <c r="J18" s="143">
        <v>0.0685</v>
      </c>
      <c r="K18" s="143">
        <f>$BF18+6%</f>
        <v>0.061</v>
      </c>
      <c r="L18" s="143">
        <f aca="true" t="shared" si="24" ref="L18:Q18">$BF18+5.75%</f>
        <v>0.0585</v>
      </c>
      <c r="M18" s="143">
        <f t="shared" si="24"/>
        <v>0.0585</v>
      </c>
      <c r="N18" s="143">
        <f t="shared" si="24"/>
        <v>0.0585</v>
      </c>
      <c r="O18" s="143">
        <f t="shared" si="24"/>
        <v>0.0585</v>
      </c>
      <c r="P18" s="143">
        <f t="shared" si="24"/>
        <v>0.0585</v>
      </c>
      <c r="Q18" s="143">
        <f t="shared" si="24"/>
        <v>0.0585</v>
      </c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4">
        <v>0.57</v>
      </c>
      <c r="AI18" s="144">
        <v>0.51</v>
      </c>
      <c r="AJ18" s="144">
        <v>0.49</v>
      </c>
      <c r="AK18" s="144">
        <v>0.49</v>
      </c>
      <c r="AL18" s="144">
        <v>0.49</v>
      </c>
      <c r="AM18" s="144">
        <v>0.49</v>
      </c>
      <c r="AN18" s="144">
        <v>0.49</v>
      </c>
      <c r="AO18" s="144">
        <v>0.49</v>
      </c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39">
        <v>0.001</v>
      </c>
    </row>
    <row r="19" spans="1:58" ht="12.75">
      <c r="A19" s="85" t="s">
        <v>2803</v>
      </c>
      <c r="B19" s="86" t="s">
        <v>2804</v>
      </c>
      <c r="C19" s="87" t="str">
        <f t="shared" si="2"/>
        <v>2 lat/a od dnia zakupu</v>
      </c>
      <c r="D19" s="87">
        <v>45200</v>
      </c>
      <c r="E19" s="87">
        <v>45230</v>
      </c>
      <c r="F19" s="88">
        <v>100</v>
      </c>
      <c r="G19" s="88">
        <v>99.9</v>
      </c>
      <c r="H19" s="142">
        <v>169.8461</v>
      </c>
      <c r="I19" s="142">
        <v>34.3177</v>
      </c>
      <c r="J19" s="143">
        <v>0.0675</v>
      </c>
      <c r="K19" s="143">
        <f aca="true" t="shared" si="25" ref="K19:P19">$BF19+5.75%</f>
        <v>0.0625</v>
      </c>
      <c r="L19" s="143">
        <f t="shared" si="25"/>
        <v>0.0625</v>
      </c>
      <c r="M19" s="143">
        <f t="shared" si="25"/>
        <v>0.0625</v>
      </c>
      <c r="N19" s="143">
        <f t="shared" si="25"/>
        <v>0.0625</v>
      </c>
      <c r="O19" s="143">
        <f t="shared" si="25"/>
        <v>0.0625</v>
      </c>
      <c r="P19" s="143">
        <f t="shared" si="25"/>
        <v>0.0625</v>
      </c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4">
        <v>0.56</v>
      </c>
      <c r="AI19" s="144">
        <v>0.52</v>
      </c>
      <c r="AJ19" s="144">
        <v>0.52</v>
      </c>
      <c r="AK19" s="144">
        <v>0.52</v>
      </c>
      <c r="AL19" s="144">
        <v>0.52</v>
      </c>
      <c r="AM19" s="144">
        <v>0.52</v>
      </c>
      <c r="AN19" s="144">
        <v>0.52</v>
      </c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39">
        <v>0.005</v>
      </c>
    </row>
    <row r="20" spans="1:58" ht="12.75">
      <c r="A20" s="85" t="s">
        <v>2805</v>
      </c>
      <c r="B20" s="86" t="s">
        <v>2806</v>
      </c>
      <c r="C20" s="87" t="str">
        <f t="shared" si="2"/>
        <v>2 lat/a od dnia zakupu</v>
      </c>
      <c r="D20" s="87">
        <v>45231</v>
      </c>
      <c r="E20" s="87">
        <v>45260</v>
      </c>
      <c r="F20" s="88">
        <v>100</v>
      </c>
      <c r="G20" s="88">
        <v>99.9</v>
      </c>
      <c r="H20" s="142">
        <v>159.0759</v>
      </c>
      <c r="I20" s="142">
        <v>26.1529</v>
      </c>
      <c r="J20" s="143">
        <v>0.065</v>
      </c>
      <c r="K20" s="143">
        <f>$BF20+5.75%</f>
        <v>0.0625</v>
      </c>
      <c r="L20" s="143">
        <f>$BF20+5.75%</f>
        <v>0.0625</v>
      </c>
      <c r="M20" s="143">
        <f>$BF20+5.75%</f>
        <v>0.0625</v>
      </c>
      <c r="N20" s="143">
        <f>$BF20+5.75%</f>
        <v>0.0625</v>
      </c>
      <c r="O20" s="143">
        <f>$BF20+5.75%</f>
        <v>0.0625</v>
      </c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4">
        <v>0.54</v>
      </c>
      <c r="AI20" s="144">
        <v>0.52</v>
      </c>
      <c r="AJ20" s="144">
        <v>0.52</v>
      </c>
      <c r="AK20" s="144">
        <v>0.52</v>
      </c>
      <c r="AL20" s="144">
        <v>0.52</v>
      </c>
      <c r="AM20" s="144">
        <v>0.52</v>
      </c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39">
        <v>0.005</v>
      </c>
    </row>
    <row r="21" spans="1:58" ht="12.75">
      <c r="A21" s="90" t="s">
        <v>2907</v>
      </c>
      <c r="B21" s="91" t="s">
        <v>2908</v>
      </c>
      <c r="C21" s="92" t="str">
        <f>"2"&amp;WykupCOI</f>
        <v>2 lat/a od dnia zakupu</v>
      </c>
      <c r="D21" s="92">
        <v>45261</v>
      </c>
      <c r="E21" s="92">
        <v>45291</v>
      </c>
      <c r="F21" s="93">
        <v>100</v>
      </c>
      <c r="G21" s="93">
        <v>99.9</v>
      </c>
      <c r="H21" s="147">
        <v>164.3704</v>
      </c>
      <c r="I21" s="147">
        <v>28.0483</v>
      </c>
      <c r="J21" s="148">
        <v>0.065</v>
      </c>
      <c r="K21" s="148">
        <f>$BF21+5.75%</f>
        <v>0.0625</v>
      </c>
      <c r="L21" s="148">
        <f>$BF21+5.75%</f>
        <v>0.0625</v>
      </c>
      <c r="M21" s="148">
        <f>$BF21+5.75%</f>
        <v>0.0625</v>
      </c>
      <c r="N21" s="148">
        <f>$BF21+5.75%</f>
        <v>0.0625</v>
      </c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9">
        <v>0.54</v>
      </c>
      <c r="AI21" s="149">
        <v>0.52</v>
      </c>
      <c r="AJ21" s="149">
        <v>0.52</v>
      </c>
      <c r="AK21" s="149">
        <v>0.52</v>
      </c>
      <c r="AL21" s="149">
        <v>0.52</v>
      </c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41">
        <v>0.005</v>
      </c>
    </row>
    <row r="22" spans="1:58" ht="12.75">
      <c r="A22" s="85" t="s">
        <v>2922</v>
      </c>
      <c r="B22" s="86" t="s">
        <v>2924</v>
      </c>
      <c r="C22" s="87" t="str">
        <f>"2"&amp;WykupCOI</f>
        <v>2 lat/a od dnia zakupu</v>
      </c>
      <c r="D22" s="87">
        <f>_XLL.NR.SER.DATY(D21,1)</f>
        <v>45292</v>
      </c>
      <c r="E22" s="87">
        <f>_XLL.NR.SER.OST.DN.MIES(D22,0)</f>
        <v>45322</v>
      </c>
      <c r="F22" s="88">
        <v>100</v>
      </c>
      <c r="G22" s="88">
        <v>99.9</v>
      </c>
      <c r="H22" s="142">
        <v>240.0654</v>
      </c>
      <c r="I22" s="142">
        <v>27.6064</v>
      </c>
      <c r="J22" s="143">
        <v>0.064</v>
      </c>
      <c r="K22" s="143">
        <f>$BF22+5.75%</f>
        <v>0.0625</v>
      </c>
      <c r="L22" s="143">
        <f>$BF22+5.75%</f>
        <v>0.0625</v>
      </c>
      <c r="M22" s="143">
        <f>$BF22+5.75%</f>
        <v>0.0625</v>
      </c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4">
        <v>0.53</v>
      </c>
      <c r="AI22" s="144">
        <v>0.52</v>
      </c>
      <c r="AJ22" s="144">
        <v>0.52</v>
      </c>
      <c r="AK22" s="144">
        <v>0.52</v>
      </c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39">
        <v>0.005</v>
      </c>
    </row>
    <row r="23" spans="1:58" s="7" customFormat="1" ht="12.75">
      <c r="A23" s="85" t="s">
        <v>2940</v>
      </c>
      <c r="B23" s="86" t="s">
        <v>2939</v>
      </c>
      <c r="C23" s="87" t="str">
        <f>"2"&amp;WykupCOI</f>
        <v>2 lat/a od dnia zakupu</v>
      </c>
      <c r="D23" s="87">
        <f>_XLL.NR.SER.DATY(D22,1)</f>
        <v>45323</v>
      </c>
      <c r="E23" s="87">
        <f>_XLL.NR.SER.OST.DN.MIES(D23,0)-1</f>
        <v>45350</v>
      </c>
      <c r="F23" s="88">
        <v>100</v>
      </c>
      <c r="G23" s="88">
        <v>99.9</v>
      </c>
      <c r="H23" s="142">
        <v>251.371</v>
      </c>
      <c r="I23" s="142">
        <v>43.7424</v>
      </c>
      <c r="J23" s="143">
        <v>0.063</v>
      </c>
      <c r="K23" s="143">
        <f>$BF23+5.75%</f>
        <v>0.0625</v>
      </c>
      <c r="L23" s="143">
        <f>$BF23+5.75%</f>
        <v>0.0625</v>
      </c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4">
        <v>0.53</v>
      </c>
      <c r="AI23" s="144">
        <v>0.52</v>
      </c>
      <c r="AJ23" s="144">
        <v>0.52</v>
      </c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39">
        <v>0.005</v>
      </c>
    </row>
    <row r="24" spans="1:58" s="7" customFormat="1" ht="12.75">
      <c r="A24" s="85" t="s">
        <v>2955</v>
      </c>
      <c r="B24" s="86" t="s">
        <v>2956</v>
      </c>
      <c r="C24" s="87" t="str">
        <f>"2"&amp;WykupCOI</f>
        <v>2 lat/a od dnia zakupu</v>
      </c>
      <c r="D24" s="87">
        <f>_XLL.NR.SER.DATY(D23,1)</f>
        <v>45352</v>
      </c>
      <c r="E24" s="87">
        <f>_XLL.NR.SER.OST.DN.MIES(D24,0)</f>
        <v>45382</v>
      </c>
      <c r="F24" s="88">
        <v>100</v>
      </c>
      <c r="G24" s="88">
        <v>99.9</v>
      </c>
      <c r="H24" s="142">
        <v>268.0955</v>
      </c>
      <c r="I24" s="142">
        <v>33.3376</v>
      </c>
      <c r="J24" s="143">
        <v>0.063</v>
      </c>
      <c r="K24" s="143">
        <f>$BF24+5.75%</f>
        <v>0.0625</v>
      </c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4">
        <v>0.53</v>
      </c>
      <c r="AI24" s="144">
        <v>0.52</v>
      </c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39">
        <v>0.005</v>
      </c>
    </row>
    <row r="25" spans="1:58" s="7" customFormat="1" ht="12.75">
      <c r="A25" s="90" t="s">
        <v>2970</v>
      </c>
      <c r="B25" s="91" t="s">
        <v>2972</v>
      </c>
      <c r="C25" s="92" t="str">
        <f>"2"&amp;WykupCOI</f>
        <v>2 lat/a od dnia zakupu</v>
      </c>
      <c r="D25" s="92">
        <f>_XLL.NR.SER.DATY(D24,1)</f>
        <v>45383</v>
      </c>
      <c r="E25" s="92">
        <f>_XLL.NR.SER.OST.DN.MIES(D25,0)</f>
        <v>45412</v>
      </c>
      <c r="F25" s="93">
        <v>100</v>
      </c>
      <c r="G25" s="93">
        <v>99.9</v>
      </c>
      <c r="H25" s="147"/>
      <c r="I25" s="147"/>
      <c r="J25" s="148">
        <v>0.063</v>
      </c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9">
        <v>0.53</v>
      </c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41">
        <v>0.005</v>
      </c>
    </row>
  </sheetData>
  <sheetProtection/>
  <mergeCells count="12">
    <mergeCell ref="G1:G2"/>
    <mergeCell ref="H1:H2"/>
    <mergeCell ref="I1:I2"/>
    <mergeCell ref="AH1:BE1"/>
    <mergeCell ref="BF1:BF2"/>
    <mergeCell ref="J1:AG1"/>
    <mergeCell ref="A1:A2"/>
    <mergeCell ref="B1:B2"/>
    <mergeCell ref="C1:C2"/>
    <mergeCell ref="D1:D2"/>
    <mergeCell ref="E1:E2"/>
    <mergeCell ref="F1:F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  <ignoredErrors>
    <ignoredError sqref="E2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25"/>
  <dimension ref="A1:K22"/>
  <sheetViews>
    <sheetView zoomScale="115" zoomScaleNormal="115" zoomScalePageLayoutView="0" workbookViewId="0" topLeftCell="A1">
      <pane xSplit="2" ySplit="1" topLeftCell="C1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3" sqref="A23"/>
    </sheetView>
  </sheetViews>
  <sheetFormatPr defaultColWidth="0" defaultRowHeight="12.75"/>
  <cols>
    <col min="1" max="1" width="10.875" style="13" customWidth="1"/>
    <col min="2" max="2" width="16.50390625" style="13" customWidth="1"/>
    <col min="3" max="3" width="30.875" style="13" customWidth="1"/>
    <col min="4" max="4" width="17.625" style="13" customWidth="1"/>
    <col min="5" max="5" width="11.875" style="13" customWidth="1"/>
    <col min="6" max="6" width="12.50390625" style="13" customWidth="1"/>
    <col min="7" max="7" width="18.00390625" style="13" customWidth="1"/>
    <col min="8" max="8" width="11.50390625" style="18" customWidth="1"/>
    <col min="9" max="9" width="15.875" style="18" customWidth="1"/>
    <col min="10" max="11" width="24.50390625" style="13" customWidth="1"/>
    <col min="12" max="16384" width="9.375" style="0" hidden="1" customWidth="1"/>
  </cols>
  <sheetData>
    <row r="1" spans="1:11" ht="40.5" customHeight="1" thickBot="1">
      <c r="A1" s="131" t="str">
        <f>Seria</f>
        <v>Seria</v>
      </c>
      <c r="B1" s="132" t="str">
        <f>ISIN</f>
        <v>Kod ISIN</v>
      </c>
      <c r="C1" s="132" t="str">
        <f>Wykup</f>
        <v>Data wykupu</v>
      </c>
      <c r="D1" s="132" t="str">
        <f>PoczatekSprzedazy</f>
        <v>Początek sprzedaży</v>
      </c>
      <c r="E1" s="132" t="str">
        <f>KoniecSprzedazy</f>
        <v>Koniec sprzedaży</v>
      </c>
      <c r="F1" s="108" t="str">
        <f>CenaEmisyjna</f>
        <v>Cena emisyjna</v>
      </c>
      <c r="G1" s="108" t="str">
        <f>switch_price</f>
        <v>Cena zamiany</v>
      </c>
      <c r="H1" s="132" t="str">
        <f>Sprzedaz&amp;"
(mln zł)"</f>
        <v>Sprzedaż łączna
(mln zł)</v>
      </c>
      <c r="I1" s="132" t="str">
        <f>switch&amp;" (mln zł)"</f>
        <v>w tym zamiana (mln zł)</v>
      </c>
      <c r="J1" s="108" t="str">
        <f>Oprocentowanie</f>
        <v>Oprocentowanie</v>
      </c>
      <c r="K1" s="108" t="str">
        <f>Odsetki&amp;" (zł)"</f>
        <v>Odsetki (zł)</v>
      </c>
    </row>
    <row r="2" spans="1:11" ht="12.75">
      <c r="A2" s="133" t="s">
        <v>2646</v>
      </c>
      <c r="B2" s="134" t="s">
        <v>2418</v>
      </c>
      <c r="C2" s="97" t="str">
        <f>"3"&amp;WykupCOI</f>
        <v>3 lat/a od dnia zakupu</v>
      </c>
      <c r="D2" s="97">
        <v>44774</v>
      </c>
      <c r="E2" s="97">
        <f>_XLL.NR.SER.OST.DN.MIES(D2,0)</f>
        <v>44804</v>
      </c>
      <c r="F2" s="95">
        <v>100</v>
      </c>
      <c r="G2" s="95">
        <v>99.9</v>
      </c>
      <c r="H2" s="96">
        <v>221.8047</v>
      </c>
      <c r="I2" s="96">
        <v>22.8537</v>
      </c>
      <c r="J2" s="64">
        <v>0.065</v>
      </c>
      <c r="K2" s="95">
        <v>20.79</v>
      </c>
    </row>
    <row r="3" spans="1:11" ht="12.75">
      <c r="A3" s="85" t="s">
        <v>2681</v>
      </c>
      <c r="B3" s="86" t="s">
        <v>2682</v>
      </c>
      <c r="C3" s="87" t="str">
        <f aca="true" t="shared" si="0" ref="C3:C16">"3"&amp;WykupCOI</f>
        <v>3 lat/a od dnia zakupu</v>
      </c>
      <c r="D3" s="87">
        <v>44805</v>
      </c>
      <c r="E3" s="87">
        <v>44834</v>
      </c>
      <c r="F3" s="88">
        <v>100</v>
      </c>
      <c r="G3" s="88">
        <v>99.9</v>
      </c>
      <c r="H3" s="89">
        <v>67.8505</v>
      </c>
      <c r="I3" s="89">
        <v>12.7287</v>
      </c>
      <c r="J3" s="63">
        <v>0.065</v>
      </c>
      <c r="K3" s="88">
        <v>20.79</v>
      </c>
    </row>
    <row r="4" spans="1:11" ht="12.75">
      <c r="A4" s="85" t="s">
        <v>2683</v>
      </c>
      <c r="B4" s="86" t="s">
        <v>2684</v>
      </c>
      <c r="C4" s="87" t="str">
        <f t="shared" si="0"/>
        <v>3 lat/a od dnia zakupu</v>
      </c>
      <c r="D4" s="87">
        <v>44835</v>
      </c>
      <c r="E4" s="87">
        <v>44865</v>
      </c>
      <c r="F4" s="88">
        <v>100</v>
      </c>
      <c r="G4" s="88">
        <v>99.9</v>
      </c>
      <c r="H4" s="89">
        <v>65.42999999999999</v>
      </c>
      <c r="I4" s="89">
        <v>14.5737</v>
      </c>
      <c r="J4" s="63">
        <v>0.0685</v>
      </c>
      <c r="K4" s="88">
        <v>21.99</v>
      </c>
    </row>
    <row r="5" spans="1:11" ht="12.75">
      <c r="A5" s="85" t="s">
        <v>2685</v>
      </c>
      <c r="B5" s="86" t="s">
        <v>2686</v>
      </c>
      <c r="C5" s="87" t="str">
        <f t="shared" si="0"/>
        <v>3 lat/a od dnia zakupu</v>
      </c>
      <c r="D5" s="87">
        <v>44866</v>
      </c>
      <c r="E5" s="87">
        <v>44895</v>
      </c>
      <c r="F5" s="88">
        <v>100</v>
      </c>
      <c r="G5" s="88">
        <v>99.9</v>
      </c>
      <c r="H5" s="89">
        <v>36.4125</v>
      </c>
      <c r="I5" s="89">
        <v>11.8095</v>
      </c>
      <c r="J5" s="63">
        <v>0.0685</v>
      </c>
      <c r="K5" s="88">
        <v>21.99</v>
      </c>
    </row>
    <row r="6" spans="1:11" ht="12.75">
      <c r="A6" s="90" t="s">
        <v>2687</v>
      </c>
      <c r="B6" s="91" t="s">
        <v>2688</v>
      </c>
      <c r="C6" s="92" t="str">
        <f t="shared" si="0"/>
        <v>3 lat/a od dnia zakupu</v>
      </c>
      <c r="D6" s="92">
        <v>44896</v>
      </c>
      <c r="E6" s="92">
        <v>44926</v>
      </c>
      <c r="F6" s="93">
        <v>100</v>
      </c>
      <c r="G6" s="93">
        <v>99.9</v>
      </c>
      <c r="H6" s="94">
        <v>70.6572</v>
      </c>
      <c r="I6" s="94">
        <v>10.4176</v>
      </c>
      <c r="J6" s="65">
        <v>0.0685</v>
      </c>
      <c r="K6" s="93">
        <v>21.99</v>
      </c>
    </row>
    <row r="7" spans="1:11" ht="12.75">
      <c r="A7" s="85" t="s">
        <v>2689</v>
      </c>
      <c r="B7" s="86" t="s">
        <v>2690</v>
      </c>
      <c r="C7" s="87" t="str">
        <f t="shared" si="0"/>
        <v>3 lat/a od dnia zakupu</v>
      </c>
      <c r="D7" s="87">
        <v>44927</v>
      </c>
      <c r="E7" s="87">
        <v>44957</v>
      </c>
      <c r="F7" s="88">
        <v>100</v>
      </c>
      <c r="G7" s="88">
        <v>99.9</v>
      </c>
      <c r="H7" s="89">
        <v>106.8051</v>
      </c>
      <c r="I7" s="89">
        <v>16.7307</v>
      </c>
      <c r="J7" s="63">
        <v>0.0685</v>
      </c>
      <c r="K7" s="88">
        <v>21.99</v>
      </c>
    </row>
    <row r="8" spans="1:11" ht="12.75">
      <c r="A8" s="85" t="s">
        <v>2691</v>
      </c>
      <c r="B8" s="86" t="s">
        <v>2692</v>
      </c>
      <c r="C8" s="87" t="str">
        <f t="shared" si="0"/>
        <v>3 lat/a od dnia zakupu</v>
      </c>
      <c r="D8" s="87">
        <v>44958</v>
      </c>
      <c r="E8" s="87">
        <v>44985</v>
      </c>
      <c r="F8" s="88">
        <v>100</v>
      </c>
      <c r="G8" s="88">
        <v>99.9</v>
      </c>
      <c r="H8" s="89">
        <v>130.20080000000002</v>
      </c>
      <c r="I8" s="89">
        <v>16.8185</v>
      </c>
      <c r="J8" s="63">
        <v>0.0685</v>
      </c>
      <c r="K8" s="88">
        <v>21.99</v>
      </c>
    </row>
    <row r="9" spans="1:11" ht="12.75">
      <c r="A9" s="85" t="s">
        <v>2693</v>
      </c>
      <c r="B9" s="86" t="s">
        <v>2694</v>
      </c>
      <c r="C9" s="87" t="str">
        <f t="shared" si="0"/>
        <v>3 lat/a od dnia zakupu</v>
      </c>
      <c r="D9" s="87">
        <v>44986</v>
      </c>
      <c r="E9" s="87">
        <v>45016</v>
      </c>
      <c r="F9" s="88">
        <v>100</v>
      </c>
      <c r="G9" s="88">
        <v>99.9</v>
      </c>
      <c r="H9" s="89">
        <v>187.968</v>
      </c>
      <c r="I9" s="89">
        <v>24.9715</v>
      </c>
      <c r="J9" s="63">
        <v>0.0685</v>
      </c>
      <c r="K9" s="88">
        <v>21.99</v>
      </c>
    </row>
    <row r="10" spans="1:11" ht="12.75">
      <c r="A10" s="85" t="s">
        <v>2695</v>
      </c>
      <c r="B10" s="86" t="s">
        <v>2696</v>
      </c>
      <c r="C10" s="87" t="str">
        <f t="shared" si="0"/>
        <v>3 lat/a od dnia zakupu</v>
      </c>
      <c r="D10" s="87">
        <v>45017</v>
      </c>
      <c r="E10" s="87">
        <v>45046</v>
      </c>
      <c r="F10" s="88">
        <v>100</v>
      </c>
      <c r="G10" s="88">
        <v>99.9</v>
      </c>
      <c r="H10" s="89">
        <v>161.9432</v>
      </c>
      <c r="I10" s="89">
        <v>17.5835</v>
      </c>
      <c r="J10" s="63">
        <v>0.0685</v>
      </c>
      <c r="K10" s="88">
        <v>21.99</v>
      </c>
    </row>
    <row r="11" spans="1:11" ht="12.75">
      <c r="A11" s="85" t="s">
        <v>2697</v>
      </c>
      <c r="B11" s="86" t="s">
        <v>2698</v>
      </c>
      <c r="C11" s="87" t="str">
        <f t="shared" si="0"/>
        <v>3 lat/a od dnia zakupu</v>
      </c>
      <c r="D11" s="87">
        <v>45047</v>
      </c>
      <c r="E11" s="87">
        <v>45077</v>
      </c>
      <c r="F11" s="88">
        <v>100</v>
      </c>
      <c r="G11" s="88">
        <v>99.9</v>
      </c>
      <c r="H11" s="89">
        <v>201.90030000000002</v>
      </c>
      <c r="I11" s="89">
        <v>16.4188</v>
      </c>
      <c r="J11" s="63">
        <v>0.0685</v>
      </c>
      <c r="K11" s="88">
        <v>21.99</v>
      </c>
    </row>
    <row r="12" spans="1:11" ht="12.75">
      <c r="A12" s="85" t="s">
        <v>2699</v>
      </c>
      <c r="B12" s="86" t="s">
        <v>2700</v>
      </c>
      <c r="C12" s="87" t="str">
        <f t="shared" si="0"/>
        <v>3 lat/a od dnia zakupu</v>
      </c>
      <c r="D12" s="87">
        <v>45078</v>
      </c>
      <c r="E12" s="87">
        <v>45107</v>
      </c>
      <c r="F12" s="88">
        <v>100</v>
      </c>
      <c r="G12" s="88">
        <v>99.6</v>
      </c>
      <c r="H12" s="89">
        <v>586.4858</v>
      </c>
      <c r="I12" s="89">
        <v>185.7293</v>
      </c>
      <c r="J12" s="63">
        <v>0.0685</v>
      </c>
      <c r="K12" s="88">
        <v>21.99</v>
      </c>
    </row>
    <row r="13" spans="1:11" ht="12.75">
      <c r="A13" s="85" t="s">
        <v>2701</v>
      </c>
      <c r="B13" s="86" t="s">
        <v>2702</v>
      </c>
      <c r="C13" s="87" t="str">
        <f t="shared" si="0"/>
        <v>3 lat/a od dnia zakupu</v>
      </c>
      <c r="D13" s="87">
        <v>45108</v>
      </c>
      <c r="E13" s="87">
        <v>45138</v>
      </c>
      <c r="F13" s="88">
        <v>100</v>
      </c>
      <c r="G13" s="88">
        <v>99.6</v>
      </c>
      <c r="H13" s="89">
        <v>775.3185</v>
      </c>
      <c r="I13" s="89">
        <v>147.901</v>
      </c>
      <c r="J13" s="63">
        <v>0.0685</v>
      </c>
      <c r="K13" s="88">
        <v>21.99</v>
      </c>
    </row>
    <row r="14" spans="1:11" ht="12.75">
      <c r="A14" s="85" t="s">
        <v>2703</v>
      </c>
      <c r="B14" s="86" t="s">
        <v>2704</v>
      </c>
      <c r="C14" s="87" t="str">
        <f t="shared" si="0"/>
        <v>3 lat/a od dnia zakupu</v>
      </c>
      <c r="D14" s="87">
        <v>45139</v>
      </c>
      <c r="E14" s="87">
        <v>45169</v>
      </c>
      <c r="F14" s="88">
        <v>100</v>
      </c>
      <c r="G14" s="88">
        <v>99.6</v>
      </c>
      <c r="H14" s="89">
        <v>986.5534</v>
      </c>
      <c r="I14" s="89">
        <v>119.9156</v>
      </c>
      <c r="J14" s="63">
        <v>0.0685</v>
      </c>
      <c r="K14" s="88">
        <v>21.99</v>
      </c>
    </row>
    <row r="15" spans="1:11" ht="12.75">
      <c r="A15" s="85" t="s">
        <v>2705</v>
      </c>
      <c r="B15" s="86" t="s">
        <v>2706</v>
      </c>
      <c r="C15" s="87" t="str">
        <f t="shared" si="0"/>
        <v>3 lat/a od dnia zakupu</v>
      </c>
      <c r="D15" s="87">
        <v>45170</v>
      </c>
      <c r="E15" s="87">
        <v>45199</v>
      </c>
      <c r="F15" s="88">
        <v>100</v>
      </c>
      <c r="G15" s="88">
        <v>99.9</v>
      </c>
      <c r="H15" s="89">
        <v>1320.2884</v>
      </c>
      <c r="I15" s="89">
        <v>79.238</v>
      </c>
      <c r="J15" s="63">
        <v>0.0685</v>
      </c>
      <c r="K15" s="88">
        <v>21.99</v>
      </c>
    </row>
    <row r="16" spans="1:11" ht="12.75">
      <c r="A16" s="85" t="s">
        <v>2707</v>
      </c>
      <c r="B16" s="86" t="s">
        <v>2708</v>
      </c>
      <c r="C16" s="87" t="str">
        <f t="shared" si="0"/>
        <v>3 lat/a od dnia zakupu</v>
      </c>
      <c r="D16" s="87">
        <v>45200</v>
      </c>
      <c r="E16" s="87">
        <v>45230</v>
      </c>
      <c r="F16" s="88">
        <v>100</v>
      </c>
      <c r="G16" s="88">
        <v>99.9</v>
      </c>
      <c r="H16" s="89">
        <v>2051.4968</v>
      </c>
      <c r="I16" s="89">
        <v>78.0518</v>
      </c>
      <c r="J16" s="63">
        <v>0.0685</v>
      </c>
      <c r="K16" s="88">
        <v>21.99</v>
      </c>
    </row>
    <row r="17" spans="1:11" ht="12.75">
      <c r="A17" s="344" t="s">
        <v>2709</v>
      </c>
      <c r="B17" s="86" t="s">
        <v>2710</v>
      </c>
      <c r="C17" s="87" t="str">
        <f aca="true" t="shared" si="1" ref="C17:C22">"3"&amp;WykupCOI</f>
        <v>3 lat/a od dnia zakupu</v>
      </c>
      <c r="D17" s="87">
        <v>45231</v>
      </c>
      <c r="E17" s="87">
        <v>45260</v>
      </c>
      <c r="F17" s="88">
        <v>100</v>
      </c>
      <c r="G17" s="88">
        <v>99.9</v>
      </c>
      <c r="H17" s="89">
        <v>1031.7449</v>
      </c>
      <c r="I17" s="89">
        <v>93.0873</v>
      </c>
      <c r="J17" s="63">
        <v>0.066</v>
      </c>
      <c r="K17" s="88">
        <v>21.14</v>
      </c>
    </row>
    <row r="18" spans="1:11" ht="12.75">
      <c r="A18" s="345" t="s">
        <v>2909</v>
      </c>
      <c r="B18" s="91" t="s">
        <v>2910</v>
      </c>
      <c r="C18" s="92" t="str">
        <f t="shared" si="1"/>
        <v>3 lat/a od dnia zakupu</v>
      </c>
      <c r="D18" s="92">
        <v>45261</v>
      </c>
      <c r="E18" s="92">
        <v>45291</v>
      </c>
      <c r="F18" s="93">
        <v>100</v>
      </c>
      <c r="G18" s="93">
        <v>99.9</v>
      </c>
      <c r="H18" s="94">
        <v>1395.3165999999999</v>
      </c>
      <c r="I18" s="94">
        <v>108.0829</v>
      </c>
      <c r="J18" s="65">
        <v>0.066</v>
      </c>
      <c r="K18" s="93">
        <v>21.14</v>
      </c>
    </row>
    <row r="19" spans="1:11" ht="12.75">
      <c r="A19" s="344" t="s">
        <v>2925</v>
      </c>
      <c r="B19" s="86" t="s">
        <v>2926</v>
      </c>
      <c r="C19" s="87" t="str">
        <f t="shared" si="1"/>
        <v>3 lat/a od dnia zakupu</v>
      </c>
      <c r="D19" s="87">
        <f>_XLL.NR.SER.DATY(D18,1)</f>
        <v>45292</v>
      </c>
      <c r="E19" s="87">
        <f>_XLL.NR.SER.OST.DN.MIES(D19,0)</f>
        <v>45322</v>
      </c>
      <c r="F19" s="88">
        <v>100</v>
      </c>
      <c r="G19" s="88">
        <v>99.9</v>
      </c>
      <c r="H19" s="89">
        <v>1945.5307</v>
      </c>
      <c r="I19" s="89">
        <v>156.2241</v>
      </c>
      <c r="J19" s="63">
        <v>0.065</v>
      </c>
      <c r="K19" s="88">
        <v>20.79</v>
      </c>
    </row>
    <row r="20" spans="1:11" s="7" customFormat="1" ht="12.75">
      <c r="A20" s="344" t="s">
        <v>2942</v>
      </c>
      <c r="B20" s="86" t="s">
        <v>2941</v>
      </c>
      <c r="C20" s="87" t="str">
        <f t="shared" si="1"/>
        <v>3 lat/a od dnia zakupu</v>
      </c>
      <c r="D20" s="87">
        <f>_XLL.NR.SER.DATY(D19,1)</f>
        <v>45323</v>
      </c>
      <c r="E20" s="87">
        <f>_XLL.NR.SER.OST.DN.MIES(D20,0)-1</f>
        <v>45350</v>
      </c>
      <c r="F20" s="88">
        <v>100</v>
      </c>
      <c r="G20" s="88">
        <v>99.9</v>
      </c>
      <c r="H20" s="89">
        <v>1544.301</v>
      </c>
      <c r="I20" s="89">
        <v>175.26829999999998</v>
      </c>
      <c r="J20" s="63">
        <v>0.064</v>
      </c>
      <c r="K20" s="88">
        <v>20.46</v>
      </c>
    </row>
    <row r="21" spans="1:11" s="7" customFormat="1" ht="12.75">
      <c r="A21" s="344" t="s">
        <v>2957</v>
      </c>
      <c r="B21" s="86" t="s">
        <v>2958</v>
      </c>
      <c r="C21" s="87" t="str">
        <f t="shared" si="1"/>
        <v>3 lat/a od dnia zakupu</v>
      </c>
      <c r="D21" s="87">
        <f>_XLL.NR.SER.DATY(D20,1)</f>
        <v>45352</v>
      </c>
      <c r="E21" s="87">
        <f>_XLL.NR.SER.OST.DN.MIES(D21,0)</f>
        <v>45382</v>
      </c>
      <c r="F21" s="88">
        <v>100</v>
      </c>
      <c r="G21" s="88">
        <v>99.9</v>
      </c>
      <c r="H21" s="89">
        <v>2274.3609</v>
      </c>
      <c r="I21" s="89">
        <v>250.5267</v>
      </c>
      <c r="J21" s="63">
        <v>0.064</v>
      </c>
      <c r="K21" s="88">
        <v>20.46</v>
      </c>
    </row>
    <row r="22" spans="1:11" s="7" customFormat="1" ht="12.75">
      <c r="A22" s="345" t="s">
        <v>2973</v>
      </c>
      <c r="B22" s="91" t="s">
        <v>2974</v>
      </c>
      <c r="C22" s="92" t="str">
        <f t="shared" si="1"/>
        <v>3 lat/a od dnia zakupu</v>
      </c>
      <c r="D22" s="92">
        <f>_XLL.NR.SER.DATY(D21,1)</f>
        <v>45383</v>
      </c>
      <c r="E22" s="92">
        <f>_XLL.NR.SER.OST.DN.MIES(D22,0)</f>
        <v>45412</v>
      </c>
      <c r="F22" s="93">
        <v>100</v>
      </c>
      <c r="G22" s="93">
        <v>99.9</v>
      </c>
      <c r="H22" s="94"/>
      <c r="I22" s="94"/>
      <c r="J22" s="65">
        <v>0.064</v>
      </c>
      <c r="K22" s="93">
        <v>20.46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  <ignoredErrors>
    <ignoredError sqref="E2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20"/>
  <dimension ref="A1:IV297"/>
  <sheetViews>
    <sheetView zoomScale="115" zoomScaleNormal="115" zoomScalePageLayoutView="0" workbookViewId="0" topLeftCell="A1">
      <pane xSplit="2" ySplit="2" topLeftCell="C29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98" sqref="A298"/>
    </sheetView>
  </sheetViews>
  <sheetFormatPr defaultColWidth="0" defaultRowHeight="12.75"/>
  <cols>
    <col min="1" max="1" width="10.875" style="13" customWidth="1"/>
    <col min="2" max="2" width="16.50390625" style="13" bestFit="1" customWidth="1"/>
    <col min="3" max="3" width="30.875" style="13" customWidth="1"/>
    <col min="4" max="4" width="17.625" style="13" bestFit="1" customWidth="1"/>
    <col min="5" max="5" width="11.875" style="13" bestFit="1" customWidth="1"/>
    <col min="6" max="6" width="12.50390625" style="13" bestFit="1" customWidth="1"/>
    <col min="7" max="7" width="18.00390625" style="13" bestFit="1" customWidth="1"/>
    <col min="8" max="8" width="11.50390625" style="17" bestFit="1" customWidth="1"/>
    <col min="9" max="9" width="15.875" style="17" customWidth="1"/>
    <col min="10" max="10" width="8.125" style="19" customWidth="1"/>
    <col min="11" max="11" width="8.375" style="19" customWidth="1"/>
    <col min="12" max="12" width="7.875" style="19" customWidth="1"/>
    <col min="13" max="13" width="8.125" style="19" customWidth="1"/>
    <col min="14" max="17" width="7.875" style="19" customWidth="1"/>
    <col min="18" max="18" width="8.50390625" style="19" bestFit="1" customWidth="1"/>
    <col min="19" max="253" width="14.875" style="19" hidden="1" customWidth="1"/>
    <col min="254" max="16384" width="14.875" style="13" hidden="1" customWidth="1"/>
  </cols>
  <sheetData>
    <row r="1" spans="1:18" ht="13.5" customHeight="1" thickBot="1">
      <c r="A1" s="359" t="str">
        <f>Seria</f>
        <v>Seria</v>
      </c>
      <c r="B1" s="359" t="str">
        <f>ISIN</f>
        <v>Kod ISIN</v>
      </c>
      <c r="C1" s="351" t="str">
        <f>Wykup</f>
        <v>Data wykupu</v>
      </c>
      <c r="D1" s="351" t="str">
        <f>PoczatekSprzedazy</f>
        <v>Początek sprzedaży</v>
      </c>
      <c r="E1" s="351" t="str">
        <f>KoniecSprzedazy</f>
        <v>Koniec sprzedaży</v>
      </c>
      <c r="F1" s="351" t="str">
        <f>CenaEmisyjna</f>
        <v>Cena emisyjna</v>
      </c>
      <c r="G1" s="351" t="str">
        <f>switch_price</f>
        <v>Cena zamiany</v>
      </c>
      <c r="H1" s="353" t="str">
        <f>Sprzedaz&amp;" 
(mln zł)"</f>
        <v>Sprzedaż łączna 
(mln zł)</v>
      </c>
      <c r="I1" s="353" t="str">
        <f>switch&amp;" (mln zł)"</f>
        <v>w tym zamiana (mln zł)</v>
      </c>
      <c r="J1" s="355" t="str">
        <f>Oprocentowanie</f>
        <v>Oprocentowanie</v>
      </c>
      <c r="K1" s="355"/>
      <c r="L1" s="355"/>
      <c r="M1" s="355"/>
      <c r="N1" s="356" t="str">
        <f>Odsetki&amp;" (zł)"</f>
        <v>Odsetki (zł)</v>
      </c>
      <c r="O1" s="356"/>
      <c r="P1" s="356"/>
      <c r="Q1" s="356"/>
      <c r="R1" s="357" t="str">
        <f>Marża</f>
        <v>Marża</v>
      </c>
    </row>
    <row r="2" spans="1:256" s="15" customFormat="1" ht="27" customHeight="1" thickBot="1">
      <c r="A2" s="360"/>
      <c r="B2" s="360"/>
      <c r="C2" s="352"/>
      <c r="D2" s="352"/>
      <c r="E2" s="352"/>
      <c r="F2" s="352"/>
      <c r="G2" s="352"/>
      <c r="H2" s="354"/>
      <c r="I2" s="354"/>
      <c r="J2" s="32" t="str">
        <f>FirstYear</f>
        <v> w 1. roku</v>
      </c>
      <c r="K2" s="32" t="str">
        <f>SecondYear</f>
        <v> w 2. roku</v>
      </c>
      <c r="L2" s="32" t="str">
        <f>ThirdYear</f>
        <v> w 3. roku</v>
      </c>
      <c r="M2" s="32" t="str">
        <f>FourthYear</f>
        <v> w 4. roku</v>
      </c>
      <c r="N2" s="32" t="str">
        <f>FirstYear</f>
        <v> w 1. roku</v>
      </c>
      <c r="O2" s="32" t="str">
        <f>SecondYear</f>
        <v> w 2. roku</v>
      </c>
      <c r="P2" s="32" t="str">
        <f>ThirdYear</f>
        <v> w 3. roku</v>
      </c>
      <c r="Q2" s="32" t="str">
        <f>FourthYear</f>
        <v> w 4. roku</v>
      </c>
      <c r="R2" s="358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3"/>
      <c r="IU2" s="13"/>
      <c r="IV2" s="13"/>
    </row>
    <row r="3" spans="1:256" s="7" customFormat="1" ht="12.75">
      <c r="A3" s="85" t="s">
        <v>82</v>
      </c>
      <c r="B3" s="86" t="s">
        <v>128</v>
      </c>
      <c r="C3" s="109" t="str">
        <f aca="true" t="shared" si="0" ref="C3:C66">"4"&amp;WykupCOI</f>
        <v>4 lat/a od dnia zakupu</v>
      </c>
      <c r="D3" s="109">
        <v>36434</v>
      </c>
      <c r="E3" s="109">
        <v>36462</v>
      </c>
      <c r="F3" s="110">
        <v>100</v>
      </c>
      <c r="G3" s="110"/>
      <c r="H3" s="101">
        <v>8.6102</v>
      </c>
      <c r="I3" s="101"/>
      <c r="J3" s="39">
        <v>0.117</v>
      </c>
      <c r="K3" s="39">
        <v>0.152</v>
      </c>
      <c r="L3" s="39">
        <v>0.096</v>
      </c>
      <c r="M3" s="39">
        <v>0.057</v>
      </c>
      <c r="N3" s="35"/>
      <c r="O3" s="35"/>
      <c r="P3" s="35"/>
      <c r="Q3" s="35">
        <v>49.07</v>
      </c>
      <c r="R3" s="39">
        <v>0.045</v>
      </c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3"/>
      <c r="IU3" s="13"/>
      <c r="IV3" s="13"/>
    </row>
    <row r="4" spans="1:256" s="7" customFormat="1" ht="12.75">
      <c r="A4" s="85" t="s">
        <v>83</v>
      </c>
      <c r="B4" s="86" t="s">
        <v>129</v>
      </c>
      <c r="C4" s="109" t="str">
        <f t="shared" si="0"/>
        <v>4 lat/a od dnia zakupu</v>
      </c>
      <c r="D4" s="109">
        <v>36466</v>
      </c>
      <c r="E4" s="109">
        <v>36494</v>
      </c>
      <c r="F4" s="110">
        <v>100</v>
      </c>
      <c r="G4" s="110"/>
      <c r="H4" s="101">
        <v>6.6815</v>
      </c>
      <c r="I4" s="101"/>
      <c r="J4" s="39">
        <v>0.125</v>
      </c>
      <c r="K4" s="39">
        <v>0.148</v>
      </c>
      <c r="L4" s="39">
        <v>0.088</v>
      </c>
      <c r="M4" s="39">
        <v>0.058</v>
      </c>
      <c r="N4" s="36"/>
      <c r="O4" s="36"/>
      <c r="P4" s="36"/>
      <c r="Q4" s="36">
        <v>48.67</v>
      </c>
      <c r="R4" s="39">
        <v>0.045</v>
      </c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3"/>
      <c r="IU4" s="13"/>
      <c r="IV4" s="13"/>
    </row>
    <row r="5" spans="1:256" s="25" customFormat="1" ht="12.75">
      <c r="A5" s="90" t="s">
        <v>84</v>
      </c>
      <c r="B5" s="91" t="s">
        <v>130</v>
      </c>
      <c r="C5" s="111" t="str">
        <f t="shared" si="0"/>
        <v>4 lat/a od dnia zakupu</v>
      </c>
      <c r="D5" s="111">
        <v>36495</v>
      </c>
      <c r="E5" s="111">
        <v>36518</v>
      </c>
      <c r="F5" s="112">
        <v>100</v>
      </c>
      <c r="G5" s="112"/>
      <c r="H5" s="106">
        <v>7.4367</v>
      </c>
      <c r="I5" s="106"/>
      <c r="J5" s="39">
        <v>0.132</v>
      </c>
      <c r="K5" s="39">
        <v>0.144</v>
      </c>
      <c r="L5" s="39">
        <v>0.085</v>
      </c>
      <c r="M5" s="39">
        <v>0.056</v>
      </c>
      <c r="N5" s="36"/>
      <c r="O5" s="36"/>
      <c r="P5" s="36"/>
      <c r="Q5" s="36">
        <v>48.38</v>
      </c>
      <c r="R5" s="39">
        <v>0.045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3"/>
      <c r="IU5" s="13"/>
      <c r="IV5" s="13"/>
    </row>
    <row r="6" spans="1:256" s="7" customFormat="1" ht="12.75">
      <c r="A6" s="113" t="s">
        <v>85</v>
      </c>
      <c r="B6" s="114" t="s">
        <v>131</v>
      </c>
      <c r="C6" s="115" t="str">
        <f t="shared" si="0"/>
        <v>4 lat/a od dnia zakupu</v>
      </c>
      <c r="D6" s="115">
        <v>36528</v>
      </c>
      <c r="E6" s="115">
        <v>36556</v>
      </c>
      <c r="F6" s="116">
        <v>100</v>
      </c>
      <c r="G6" s="117"/>
      <c r="H6" s="118">
        <v>6.6411</v>
      </c>
      <c r="I6" s="118"/>
      <c r="J6" s="40">
        <v>0.137</v>
      </c>
      <c r="K6" s="40">
        <v>0.138</v>
      </c>
      <c r="L6" s="40">
        <v>0.081</v>
      </c>
      <c r="M6" s="40">
        <v>0.054</v>
      </c>
      <c r="N6" s="37"/>
      <c r="O6" s="37"/>
      <c r="P6" s="37"/>
      <c r="Q6" s="37">
        <v>47.42</v>
      </c>
      <c r="R6" s="40">
        <v>0.045</v>
      </c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3"/>
      <c r="IU6" s="13"/>
      <c r="IV6" s="13"/>
    </row>
    <row r="7" spans="1:256" s="7" customFormat="1" ht="12.75">
      <c r="A7" s="85" t="s">
        <v>86</v>
      </c>
      <c r="B7" s="86" t="s">
        <v>132</v>
      </c>
      <c r="C7" s="109" t="str">
        <f t="shared" si="0"/>
        <v>4 lat/a od dnia zakupu</v>
      </c>
      <c r="D7" s="109">
        <v>36557</v>
      </c>
      <c r="E7" s="109">
        <v>36584</v>
      </c>
      <c r="F7" s="110">
        <v>100</v>
      </c>
      <c r="G7" s="119"/>
      <c r="H7" s="101">
        <v>6.251</v>
      </c>
      <c r="I7" s="101"/>
      <c r="J7" s="39">
        <v>0.143</v>
      </c>
      <c r="K7" s="39">
        <v>0.13</v>
      </c>
      <c r="L7" s="39">
        <v>0.081</v>
      </c>
      <c r="M7" s="39">
        <v>0.053</v>
      </c>
      <c r="N7" s="36"/>
      <c r="O7" s="36"/>
      <c r="P7" s="36"/>
      <c r="Q7" s="36">
        <v>47.02</v>
      </c>
      <c r="R7" s="39">
        <v>0.045</v>
      </c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3"/>
      <c r="IU7" s="13"/>
      <c r="IV7" s="13"/>
    </row>
    <row r="8" spans="1:256" s="7" customFormat="1" ht="12.75">
      <c r="A8" s="85" t="s">
        <v>87</v>
      </c>
      <c r="B8" s="86" t="s">
        <v>133</v>
      </c>
      <c r="C8" s="109" t="str">
        <f t="shared" si="0"/>
        <v>4 lat/a od dnia zakupu</v>
      </c>
      <c r="D8" s="109">
        <v>36586</v>
      </c>
      <c r="E8" s="109">
        <v>36616</v>
      </c>
      <c r="F8" s="110">
        <v>100</v>
      </c>
      <c r="G8" s="119"/>
      <c r="H8" s="101">
        <v>8.0587</v>
      </c>
      <c r="I8" s="101"/>
      <c r="J8" s="39">
        <v>0.146</v>
      </c>
      <c r="K8" s="39">
        <v>0.119</v>
      </c>
      <c r="L8" s="39">
        <v>0.08</v>
      </c>
      <c r="M8" s="39">
        <v>0.049</v>
      </c>
      <c r="N8" s="36"/>
      <c r="O8" s="36"/>
      <c r="P8" s="36"/>
      <c r="Q8" s="36">
        <v>45.28</v>
      </c>
      <c r="R8" s="39">
        <v>0.045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3"/>
      <c r="IU8" s="13"/>
      <c r="IV8" s="13"/>
    </row>
    <row r="9" spans="1:256" s="7" customFormat="1" ht="12.75">
      <c r="A9" s="85" t="s">
        <v>121</v>
      </c>
      <c r="B9" s="86" t="s">
        <v>134</v>
      </c>
      <c r="C9" s="109" t="str">
        <f t="shared" si="0"/>
        <v>4 lat/a od dnia zakupu</v>
      </c>
      <c r="D9" s="109">
        <v>36619</v>
      </c>
      <c r="E9" s="109">
        <v>36644</v>
      </c>
      <c r="F9" s="110">
        <v>100</v>
      </c>
      <c r="G9" s="119"/>
      <c r="H9" s="101">
        <v>4.2266</v>
      </c>
      <c r="I9" s="101"/>
      <c r="J9" s="39">
        <v>0.149</v>
      </c>
      <c r="K9" s="39">
        <v>0.111</v>
      </c>
      <c r="L9" s="39">
        <v>0.08</v>
      </c>
      <c r="M9" s="39">
        <v>0.05</v>
      </c>
      <c r="N9" s="36"/>
      <c r="O9" s="36"/>
      <c r="P9" s="36"/>
      <c r="Q9" s="36">
        <v>44.76</v>
      </c>
      <c r="R9" s="39">
        <v>0.045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3"/>
      <c r="IU9" s="13"/>
      <c r="IV9" s="13"/>
    </row>
    <row r="10" spans="1:256" s="7" customFormat="1" ht="12.75">
      <c r="A10" s="85" t="s">
        <v>122</v>
      </c>
      <c r="B10" s="86" t="s">
        <v>127</v>
      </c>
      <c r="C10" s="109" t="str">
        <f t="shared" si="0"/>
        <v>4 lat/a od dnia zakupu</v>
      </c>
      <c r="D10" s="109">
        <v>36650</v>
      </c>
      <c r="E10" s="109">
        <v>36677</v>
      </c>
      <c r="F10" s="110">
        <v>100</v>
      </c>
      <c r="G10" s="119"/>
      <c r="H10" s="101">
        <v>7.7907</v>
      </c>
      <c r="I10" s="101"/>
      <c r="J10" s="39">
        <v>0.158</v>
      </c>
      <c r="K10" s="39">
        <v>0.117</v>
      </c>
      <c r="L10" s="39">
        <v>0.088</v>
      </c>
      <c r="M10" s="39">
        <v>0.061</v>
      </c>
      <c r="N10" s="36"/>
      <c r="O10" s="36"/>
      <c r="P10" s="36"/>
      <c r="Q10" s="36">
        <v>49.32</v>
      </c>
      <c r="R10" s="39">
        <v>0.055</v>
      </c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3"/>
      <c r="IU10" s="13"/>
      <c r="IV10" s="13"/>
    </row>
    <row r="11" spans="1:256" s="7" customFormat="1" ht="12.75">
      <c r="A11" s="85" t="s">
        <v>219</v>
      </c>
      <c r="B11" s="86" t="s">
        <v>221</v>
      </c>
      <c r="C11" s="109" t="str">
        <f t="shared" si="0"/>
        <v>4 lat/a od dnia zakupu</v>
      </c>
      <c r="D11" s="109">
        <v>36678</v>
      </c>
      <c r="E11" s="87">
        <v>36707</v>
      </c>
      <c r="F11" s="110">
        <v>100</v>
      </c>
      <c r="G11" s="119"/>
      <c r="H11" s="101">
        <v>3.7438</v>
      </c>
      <c r="I11" s="101"/>
      <c r="J11" s="39">
        <v>0.153</v>
      </c>
      <c r="K11" s="39">
        <v>0.121</v>
      </c>
      <c r="L11" s="39">
        <v>0.085</v>
      </c>
      <c r="M11" s="39">
        <v>0.058</v>
      </c>
      <c r="N11" s="36"/>
      <c r="O11" s="36"/>
      <c r="P11" s="36"/>
      <c r="Q11" s="36">
        <v>48.37</v>
      </c>
      <c r="R11" s="39">
        <v>0.055</v>
      </c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3"/>
      <c r="IU11" s="13"/>
      <c r="IV11" s="13"/>
    </row>
    <row r="12" spans="1:256" s="7" customFormat="1" ht="12.75">
      <c r="A12" s="85" t="s">
        <v>220</v>
      </c>
      <c r="B12" s="86" t="s">
        <v>222</v>
      </c>
      <c r="C12" s="87" t="str">
        <f t="shared" si="0"/>
        <v>4 lat/a od dnia zakupu</v>
      </c>
      <c r="D12" s="87">
        <v>36710</v>
      </c>
      <c r="E12" s="87">
        <v>36738</v>
      </c>
      <c r="F12" s="88">
        <v>100</v>
      </c>
      <c r="G12" s="120"/>
      <c r="H12" s="101">
        <v>92.7136</v>
      </c>
      <c r="I12" s="101"/>
      <c r="J12" s="39">
        <v>0.17</v>
      </c>
      <c r="K12" s="39">
        <v>0.139</v>
      </c>
      <c r="L12" s="39">
        <v>0.089</v>
      </c>
      <c r="M12" s="39">
        <v>0.074</v>
      </c>
      <c r="N12" s="36"/>
      <c r="O12" s="36"/>
      <c r="P12" s="36"/>
      <c r="Q12" s="36">
        <v>55.86</v>
      </c>
      <c r="R12" s="39">
        <v>0.07</v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3"/>
      <c r="IU12" s="13"/>
      <c r="IV12" s="13"/>
    </row>
    <row r="13" spans="1:256" s="7" customFormat="1" ht="12.75">
      <c r="A13" s="85" t="s">
        <v>227</v>
      </c>
      <c r="B13" s="86" t="s">
        <v>225</v>
      </c>
      <c r="C13" s="87" t="str">
        <f t="shared" si="0"/>
        <v>4 lat/a od dnia zakupu</v>
      </c>
      <c r="D13" s="87">
        <v>36739</v>
      </c>
      <c r="E13" s="87">
        <v>36769</v>
      </c>
      <c r="F13" s="88">
        <v>100</v>
      </c>
      <c r="G13" s="120"/>
      <c r="H13" s="101">
        <v>55.6523</v>
      </c>
      <c r="I13" s="101"/>
      <c r="J13" s="39">
        <v>0.172</v>
      </c>
      <c r="K13" s="39">
        <v>0.132</v>
      </c>
      <c r="L13" s="39">
        <v>0.086</v>
      </c>
      <c r="M13" s="39">
        <v>0.078</v>
      </c>
      <c r="N13" s="36"/>
      <c r="O13" s="36"/>
      <c r="P13" s="36"/>
      <c r="Q13" s="36">
        <v>55.32</v>
      </c>
      <c r="R13" s="39">
        <v>0.07</v>
      </c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3"/>
      <c r="IU13" s="13"/>
      <c r="IV13" s="13"/>
    </row>
    <row r="14" spans="1:256" s="7" customFormat="1" ht="12.75">
      <c r="A14" s="85" t="s">
        <v>228</v>
      </c>
      <c r="B14" s="86" t="s">
        <v>231</v>
      </c>
      <c r="C14" s="87" t="str">
        <f t="shared" si="0"/>
        <v>4 lat/a od dnia zakupu</v>
      </c>
      <c r="D14" s="87">
        <v>36770</v>
      </c>
      <c r="E14" s="87">
        <v>36798</v>
      </c>
      <c r="F14" s="88">
        <v>100</v>
      </c>
      <c r="G14" s="120"/>
      <c r="H14" s="101">
        <v>145.124</v>
      </c>
      <c r="I14" s="101"/>
      <c r="J14" s="39">
        <v>0.186</v>
      </c>
      <c r="K14" s="39">
        <v>0.122</v>
      </c>
      <c r="L14" s="39">
        <v>0.083</v>
      </c>
      <c r="M14" s="39">
        <v>0.078</v>
      </c>
      <c r="N14" s="36"/>
      <c r="O14" s="36"/>
      <c r="P14" s="36"/>
      <c r="Q14" s="36">
        <v>55.35</v>
      </c>
      <c r="R14" s="39">
        <v>0.07</v>
      </c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3"/>
      <c r="IU14" s="13"/>
      <c r="IV14" s="13"/>
    </row>
    <row r="15" spans="1:256" s="7" customFormat="1" ht="12.75">
      <c r="A15" s="85" t="s">
        <v>235</v>
      </c>
      <c r="B15" s="86" t="s">
        <v>236</v>
      </c>
      <c r="C15" s="87" t="str">
        <f t="shared" si="0"/>
        <v>4 lat/a od dnia zakupu</v>
      </c>
      <c r="D15" s="87">
        <v>36801</v>
      </c>
      <c r="E15" s="87">
        <v>36830</v>
      </c>
      <c r="F15" s="88">
        <v>100</v>
      </c>
      <c r="G15" s="120"/>
      <c r="H15" s="101">
        <v>75.6228</v>
      </c>
      <c r="I15" s="101"/>
      <c r="J15" s="39">
        <v>0.177</v>
      </c>
      <c r="K15" s="39">
        <v>0.121</v>
      </c>
      <c r="L15" s="39">
        <v>0.082</v>
      </c>
      <c r="M15" s="39">
        <v>0.077</v>
      </c>
      <c r="N15" s="36"/>
      <c r="O15" s="36"/>
      <c r="P15" s="36"/>
      <c r="Q15" s="36">
        <v>53.75</v>
      </c>
      <c r="R15" s="39">
        <v>0.07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3"/>
      <c r="IU15" s="13"/>
      <c r="IV15" s="13"/>
    </row>
    <row r="16" spans="1:256" s="7" customFormat="1" ht="12.75">
      <c r="A16" s="85" t="s">
        <v>238</v>
      </c>
      <c r="B16" s="86" t="s">
        <v>240</v>
      </c>
      <c r="C16" s="87" t="str">
        <f t="shared" si="0"/>
        <v>4 lat/a od dnia zakupu</v>
      </c>
      <c r="D16" s="87">
        <v>36832</v>
      </c>
      <c r="E16" s="87">
        <v>36860</v>
      </c>
      <c r="F16" s="88">
        <v>100</v>
      </c>
      <c r="G16" s="120"/>
      <c r="H16" s="101">
        <v>48.6458</v>
      </c>
      <c r="I16" s="101"/>
      <c r="J16" s="39">
        <v>0.173</v>
      </c>
      <c r="K16" s="39">
        <v>0.113</v>
      </c>
      <c r="L16" s="39">
        <v>0.083</v>
      </c>
      <c r="M16" s="39">
        <v>0.079</v>
      </c>
      <c r="N16" s="36"/>
      <c r="O16" s="36"/>
      <c r="P16" s="36"/>
      <c r="Q16" s="36">
        <v>52.56</v>
      </c>
      <c r="R16" s="39">
        <v>0.07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3"/>
      <c r="IU16" s="13"/>
      <c r="IV16" s="13"/>
    </row>
    <row r="17" spans="1:256" s="25" customFormat="1" ht="12.75">
      <c r="A17" s="90" t="s">
        <v>248</v>
      </c>
      <c r="B17" s="91" t="s">
        <v>251</v>
      </c>
      <c r="C17" s="111" t="str">
        <f t="shared" si="0"/>
        <v>4 lat/a od dnia zakupu</v>
      </c>
      <c r="D17" s="111">
        <v>36861</v>
      </c>
      <c r="E17" s="111">
        <v>36889</v>
      </c>
      <c r="F17" s="112">
        <v>100</v>
      </c>
      <c r="G17" s="121"/>
      <c r="H17" s="106">
        <v>26.3833</v>
      </c>
      <c r="I17" s="106"/>
      <c r="J17" s="41">
        <v>0.169</v>
      </c>
      <c r="K17" s="41">
        <v>0.11</v>
      </c>
      <c r="L17" s="41">
        <v>0.081</v>
      </c>
      <c r="M17" s="41">
        <v>0.083</v>
      </c>
      <c r="N17" s="38"/>
      <c r="O17" s="38"/>
      <c r="P17" s="38"/>
      <c r="Q17" s="38">
        <v>51.91</v>
      </c>
      <c r="R17" s="41">
        <v>0.07</v>
      </c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3"/>
      <c r="IU17" s="13"/>
      <c r="IV17" s="13"/>
    </row>
    <row r="18" spans="1:256" s="7" customFormat="1" ht="12.75">
      <c r="A18" s="113" t="s">
        <v>249</v>
      </c>
      <c r="B18" s="114" t="s">
        <v>252</v>
      </c>
      <c r="C18" s="115" t="str">
        <f t="shared" si="0"/>
        <v>4 lat/a od dnia zakupu</v>
      </c>
      <c r="D18" s="115">
        <v>36893</v>
      </c>
      <c r="E18" s="115">
        <v>36922</v>
      </c>
      <c r="F18" s="116">
        <v>100</v>
      </c>
      <c r="G18" s="117"/>
      <c r="H18" s="118">
        <v>23.9893</v>
      </c>
      <c r="I18" s="118"/>
      <c r="J18" s="40">
        <v>0.163</v>
      </c>
      <c r="K18" s="40">
        <v>0.106</v>
      </c>
      <c r="L18" s="40">
        <v>0.079</v>
      </c>
      <c r="M18" s="40">
        <v>0.086</v>
      </c>
      <c r="N18" s="37"/>
      <c r="O18" s="37"/>
      <c r="P18" s="37"/>
      <c r="Q18" s="37">
        <v>50.73</v>
      </c>
      <c r="R18" s="40">
        <v>0.07</v>
      </c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3"/>
      <c r="IU18" s="13"/>
      <c r="IV18" s="13"/>
    </row>
    <row r="19" spans="1:256" s="7" customFormat="1" ht="12.75">
      <c r="A19" s="85" t="s">
        <v>250</v>
      </c>
      <c r="B19" s="86" t="s">
        <v>253</v>
      </c>
      <c r="C19" s="109" t="str">
        <f t="shared" si="0"/>
        <v>4 lat/a od dnia zakupu</v>
      </c>
      <c r="D19" s="109">
        <v>36923</v>
      </c>
      <c r="E19" s="109">
        <v>36950</v>
      </c>
      <c r="F19" s="110">
        <v>100</v>
      </c>
      <c r="G19" s="119"/>
      <c r="H19" s="101">
        <v>10.5034</v>
      </c>
      <c r="I19" s="101"/>
      <c r="J19" s="39">
        <v>0.155</v>
      </c>
      <c r="K19" s="39">
        <v>0.106</v>
      </c>
      <c r="L19" s="39">
        <v>0.078</v>
      </c>
      <c r="M19" s="39">
        <v>0.087</v>
      </c>
      <c r="N19" s="36"/>
      <c r="O19" s="36"/>
      <c r="P19" s="36"/>
      <c r="Q19" s="36">
        <v>49.69</v>
      </c>
      <c r="R19" s="39">
        <v>0.07</v>
      </c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3"/>
      <c r="IU19" s="13"/>
      <c r="IV19" s="13"/>
    </row>
    <row r="20" spans="1:256" s="7" customFormat="1" ht="12.75">
      <c r="A20" s="85" t="s">
        <v>258</v>
      </c>
      <c r="B20" s="86" t="s">
        <v>266</v>
      </c>
      <c r="C20" s="109" t="str">
        <f t="shared" si="0"/>
        <v>4 lat/a od dnia zakupu</v>
      </c>
      <c r="D20" s="109">
        <v>36951</v>
      </c>
      <c r="E20" s="109">
        <v>36980</v>
      </c>
      <c r="F20" s="110">
        <v>100</v>
      </c>
      <c r="G20" s="119"/>
      <c r="H20" s="101">
        <v>10.0235</v>
      </c>
      <c r="I20" s="101"/>
      <c r="J20" s="39">
        <v>0.16</v>
      </c>
      <c r="K20" s="39">
        <v>0.095</v>
      </c>
      <c r="L20" s="39">
        <v>0.064</v>
      </c>
      <c r="M20" s="39">
        <v>0.077</v>
      </c>
      <c r="N20" s="36"/>
      <c r="O20" s="36"/>
      <c r="P20" s="36"/>
      <c r="Q20" s="36">
        <v>45.56</v>
      </c>
      <c r="R20" s="39">
        <v>0.06</v>
      </c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3"/>
      <c r="IU20" s="13"/>
      <c r="IV20" s="13"/>
    </row>
    <row r="21" spans="1:256" s="7" customFormat="1" ht="12.75">
      <c r="A21" s="85" t="s">
        <v>259</v>
      </c>
      <c r="B21" s="86" t="s">
        <v>263</v>
      </c>
      <c r="C21" s="109" t="str">
        <f t="shared" si="0"/>
        <v>4 lat/a od dnia zakupu</v>
      </c>
      <c r="D21" s="109">
        <v>36983</v>
      </c>
      <c r="E21" s="109">
        <v>37011</v>
      </c>
      <c r="F21" s="110">
        <v>100</v>
      </c>
      <c r="G21" s="119"/>
      <c r="H21" s="101">
        <v>10.795</v>
      </c>
      <c r="I21" s="101"/>
      <c r="J21" s="39">
        <v>0.16</v>
      </c>
      <c r="K21" s="39">
        <v>0.095</v>
      </c>
      <c r="L21" s="39">
        <v>0.065</v>
      </c>
      <c r="M21" s="39">
        <v>0.076</v>
      </c>
      <c r="N21" s="36"/>
      <c r="O21" s="36"/>
      <c r="P21" s="36"/>
      <c r="Q21" s="36">
        <v>45.56</v>
      </c>
      <c r="R21" s="39">
        <v>0.06</v>
      </c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3"/>
      <c r="IU21" s="13"/>
      <c r="IV21" s="13"/>
    </row>
    <row r="22" spans="1:256" s="7" customFormat="1" ht="12.75">
      <c r="A22" s="85" t="s">
        <v>260</v>
      </c>
      <c r="B22" s="86" t="s">
        <v>277</v>
      </c>
      <c r="C22" s="109" t="str">
        <f t="shared" si="0"/>
        <v>4 lat/a od dnia zakupu</v>
      </c>
      <c r="D22" s="109">
        <v>37015</v>
      </c>
      <c r="E22" s="109">
        <v>37042</v>
      </c>
      <c r="F22" s="110">
        <v>100</v>
      </c>
      <c r="G22" s="119"/>
      <c r="H22" s="101">
        <v>9.6223</v>
      </c>
      <c r="I22" s="101"/>
      <c r="J22" s="39">
        <v>0.155</v>
      </c>
      <c r="K22" s="39">
        <v>0.093</v>
      </c>
      <c r="L22" s="39">
        <v>0.066</v>
      </c>
      <c r="M22" s="39">
        <v>0.077</v>
      </c>
      <c r="N22" s="36"/>
      <c r="O22" s="36"/>
      <c r="P22" s="36"/>
      <c r="Q22" s="36">
        <v>44.94</v>
      </c>
      <c r="R22" s="39">
        <v>0.06</v>
      </c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3"/>
      <c r="IU22" s="13"/>
      <c r="IV22" s="13"/>
    </row>
    <row r="23" spans="1:256" s="7" customFormat="1" ht="12.75">
      <c r="A23" s="85" t="s">
        <v>269</v>
      </c>
      <c r="B23" s="86" t="s">
        <v>276</v>
      </c>
      <c r="C23" s="109" t="str">
        <f t="shared" si="0"/>
        <v>4 lat/a od dnia zakupu</v>
      </c>
      <c r="D23" s="109">
        <v>37043</v>
      </c>
      <c r="E23" s="87">
        <v>37071</v>
      </c>
      <c r="F23" s="110">
        <v>100</v>
      </c>
      <c r="G23" s="119"/>
      <c r="H23" s="101">
        <v>6.8961</v>
      </c>
      <c r="I23" s="101"/>
      <c r="J23" s="39">
        <v>0.155</v>
      </c>
      <c r="K23" s="39">
        <v>0.09</v>
      </c>
      <c r="L23" s="39">
        <v>0.063</v>
      </c>
      <c r="M23" s="39">
        <v>0.082</v>
      </c>
      <c r="N23" s="36"/>
      <c r="O23" s="36"/>
      <c r="P23" s="36"/>
      <c r="Q23" s="36">
        <v>44.8</v>
      </c>
      <c r="R23" s="39">
        <v>0.06</v>
      </c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3"/>
      <c r="IU23" s="13"/>
      <c r="IV23" s="13"/>
    </row>
    <row r="24" spans="1:256" s="7" customFormat="1" ht="12.75">
      <c r="A24" s="85" t="s">
        <v>270</v>
      </c>
      <c r="B24" s="86" t="s">
        <v>273</v>
      </c>
      <c r="C24" s="87" t="str">
        <f t="shared" si="0"/>
        <v>4 lat/a od dnia zakupu</v>
      </c>
      <c r="D24" s="87">
        <v>37074</v>
      </c>
      <c r="E24" s="87">
        <v>37103</v>
      </c>
      <c r="F24" s="88">
        <v>100</v>
      </c>
      <c r="G24" s="120"/>
      <c r="H24" s="101">
        <v>7.8602</v>
      </c>
      <c r="I24" s="101"/>
      <c r="J24" s="39">
        <v>0.155</v>
      </c>
      <c r="K24" s="39">
        <v>0.079</v>
      </c>
      <c r="L24" s="39">
        <v>0.064</v>
      </c>
      <c r="M24" s="39">
        <v>0.094</v>
      </c>
      <c r="N24" s="36"/>
      <c r="O24" s="36"/>
      <c r="P24" s="36"/>
      <c r="Q24" s="36">
        <v>45.06</v>
      </c>
      <c r="R24" s="39">
        <v>0.06</v>
      </c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3"/>
      <c r="IU24" s="13"/>
      <c r="IV24" s="13"/>
    </row>
    <row r="25" spans="1:256" s="7" customFormat="1" ht="12.75">
      <c r="A25" s="85" t="s">
        <v>279</v>
      </c>
      <c r="B25" s="86" t="s">
        <v>291</v>
      </c>
      <c r="C25" s="87" t="str">
        <f t="shared" si="0"/>
        <v>4 lat/a od dnia zakupu</v>
      </c>
      <c r="D25" s="87">
        <v>37104</v>
      </c>
      <c r="E25" s="87">
        <v>37134</v>
      </c>
      <c r="F25" s="88">
        <v>100</v>
      </c>
      <c r="G25" s="120"/>
      <c r="H25" s="101">
        <v>24.1449</v>
      </c>
      <c r="I25" s="101"/>
      <c r="J25" s="39">
        <v>0.155</v>
      </c>
      <c r="K25" s="39">
        <v>0.076</v>
      </c>
      <c r="L25" s="39">
        <v>0.068</v>
      </c>
      <c r="M25" s="39">
        <v>0.104</v>
      </c>
      <c r="N25" s="36"/>
      <c r="O25" s="36"/>
      <c r="P25" s="36"/>
      <c r="Q25" s="36">
        <v>46.53</v>
      </c>
      <c r="R25" s="39">
        <v>0.06</v>
      </c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3"/>
      <c r="IU25" s="13"/>
      <c r="IV25" s="13"/>
    </row>
    <row r="26" spans="1:256" s="7" customFormat="1" ht="12.75">
      <c r="A26" s="85" t="s">
        <v>280</v>
      </c>
      <c r="B26" s="86" t="s">
        <v>290</v>
      </c>
      <c r="C26" s="87" t="str">
        <f t="shared" si="0"/>
        <v>4 lat/a od dnia zakupu</v>
      </c>
      <c r="D26" s="87">
        <v>37137</v>
      </c>
      <c r="E26" s="87">
        <v>37162</v>
      </c>
      <c r="F26" s="88">
        <v>100</v>
      </c>
      <c r="G26" s="120"/>
      <c r="H26" s="101">
        <v>28.5706</v>
      </c>
      <c r="I26" s="101"/>
      <c r="J26" s="39">
        <v>0.15</v>
      </c>
      <c r="K26" s="39">
        <v>0.073</v>
      </c>
      <c r="L26" s="39">
        <v>0.068</v>
      </c>
      <c r="M26" s="39">
        <v>0.106</v>
      </c>
      <c r="N26" s="36"/>
      <c r="O26" s="36"/>
      <c r="P26" s="36"/>
      <c r="Q26" s="36">
        <v>45.76</v>
      </c>
      <c r="R26" s="39">
        <v>0.06</v>
      </c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3"/>
      <c r="IU26" s="13"/>
      <c r="IV26" s="13"/>
    </row>
    <row r="27" spans="1:256" s="7" customFormat="1" ht="12.75">
      <c r="A27" s="85" t="s">
        <v>281</v>
      </c>
      <c r="B27" s="86" t="s">
        <v>289</v>
      </c>
      <c r="C27" s="87" t="str">
        <f t="shared" si="0"/>
        <v>4 lat/a od dnia zakupu</v>
      </c>
      <c r="D27" s="87">
        <v>37165</v>
      </c>
      <c r="E27" s="87">
        <v>37195</v>
      </c>
      <c r="F27" s="88">
        <v>100</v>
      </c>
      <c r="G27" s="120"/>
      <c r="H27" s="101">
        <v>112.1184</v>
      </c>
      <c r="I27" s="101"/>
      <c r="J27" s="39">
        <v>0.14</v>
      </c>
      <c r="K27" s="39">
        <v>0.072</v>
      </c>
      <c r="L27" s="39">
        <v>0.067</v>
      </c>
      <c r="M27" s="39">
        <v>0.106</v>
      </c>
      <c r="N27" s="36"/>
      <c r="O27" s="36"/>
      <c r="P27" s="36"/>
      <c r="Q27" s="36">
        <v>44.22</v>
      </c>
      <c r="R27" s="39">
        <v>0.06</v>
      </c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3"/>
      <c r="IU27" s="13"/>
      <c r="IV27" s="13"/>
    </row>
    <row r="28" spans="1:256" s="25" customFormat="1" ht="12.75">
      <c r="A28" s="85" t="s">
        <v>299</v>
      </c>
      <c r="B28" s="86" t="s">
        <v>301</v>
      </c>
      <c r="C28" s="87" t="str">
        <f t="shared" si="0"/>
        <v>4 lat/a od dnia zakupu</v>
      </c>
      <c r="D28" s="87">
        <v>37197</v>
      </c>
      <c r="E28" s="87">
        <v>37225</v>
      </c>
      <c r="F28" s="88">
        <v>100</v>
      </c>
      <c r="G28" s="120"/>
      <c r="H28" s="101">
        <v>150</v>
      </c>
      <c r="I28" s="101"/>
      <c r="J28" s="39">
        <v>0.13</v>
      </c>
      <c r="K28" s="39">
        <v>0.073</v>
      </c>
      <c r="L28" s="39">
        <v>0.069</v>
      </c>
      <c r="M28" s="39">
        <v>0.104</v>
      </c>
      <c r="N28" s="36"/>
      <c r="O28" s="36"/>
      <c r="P28" s="36"/>
      <c r="Q28" s="36">
        <v>43.1</v>
      </c>
      <c r="R28" s="39">
        <v>0.06</v>
      </c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3"/>
      <c r="IU28" s="13"/>
      <c r="IV28" s="13"/>
    </row>
    <row r="29" spans="1:256" s="7" customFormat="1" ht="12.75">
      <c r="A29" s="90" t="s">
        <v>300</v>
      </c>
      <c r="B29" s="91" t="s">
        <v>302</v>
      </c>
      <c r="C29" s="111" t="str">
        <f t="shared" si="0"/>
        <v>4 lat/a od dnia zakupu</v>
      </c>
      <c r="D29" s="111">
        <v>37228</v>
      </c>
      <c r="E29" s="111">
        <v>37256</v>
      </c>
      <c r="F29" s="112">
        <v>100</v>
      </c>
      <c r="G29" s="121"/>
      <c r="H29" s="106">
        <v>16.7418</v>
      </c>
      <c r="I29" s="106"/>
      <c r="J29" s="41">
        <v>0.115</v>
      </c>
      <c r="K29" s="41">
        <v>0.061</v>
      </c>
      <c r="L29" s="41">
        <v>0.063</v>
      </c>
      <c r="M29" s="41">
        <v>0.095</v>
      </c>
      <c r="N29" s="38"/>
      <c r="O29" s="38"/>
      <c r="P29" s="38"/>
      <c r="Q29" s="38">
        <v>37.7</v>
      </c>
      <c r="R29" s="41">
        <v>0.05</v>
      </c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3"/>
      <c r="IU29" s="13"/>
      <c r="IV29" s="13"/>
    </row>
    <row r="30" spans="1:256" s="7" customFormat="1" ht="12.75">
      <c r="A30" s="113" t="s">
        <v>317</v>
      </c>
      <c r="B30" s="114" t="s">
        <v>463</v>
      </c>
      <c r="C30" s="115" t="str">
        <f t="shared" si="0"/>
        <v>4 lat/a od dnia zakupu</v>
      </c>
      <c r="D30" s="115">
        <v>37258</v>
      </c>
      <c r="E30" s="115">
        <v>37287</v>
      </c>
      <c r="F30" s="116">
        <v>100</v>
      </c>
      <c r="G30" s="117"/>
      <c r="H30" s="118">
        <v>24.2551</v>
      </c>
      <c r="I30" s="118"/>
      <c r="J30" s="40">
        <v>0.11</v>
      </c>
      <c r="K30" s="40">
        <v>0.059</v>
      </c>
      <c r="L30" s="40">
        <v>0.066</v>
      </c>
      <c r="M30" s="40">
        <v>0.095</v>
      </c>
      <c r="N30" s="37"/>
      <c r="O30" s="37"/>
      <c r="P30" s="37"/>
      <c r="Q30" s="37">
        <v>37.21</v>
      </c>
      <c r="R30" s="40">
        <v>0.05</v>
      </c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3"/>
      <c r="IU30" s="13"/>
      <c r="IV30" s="13"/>
    </row>
    <row r="31" spans="1:256" s="7" customFormat="1" ht="12.75">
      <c r="A31" s="85" t="s">
        <v>318</v>
      </c>
      <c r="B31" s="86" t="s">
        <v>320</v>
      </c>
      <c r="C31" s="109" t="str">
        <f t="shared" si="0"/>
        <v>4 lat/a od dnia zakupu</v>
      </c>
      <c r="D31" s="109">
        <v>37288</v>
      </c>
      <c r="E31" s="109">
        <v>37315</v>
      </c>
      <c r="F31" s="110">
        <v>100</v>
      </c>
      <c r="G31" s="119"/>
      <c r="H31" s="101">
        <v>26.2217</v>
      </c>
      <c r="I31" s="101"/>
      <c r="J31" s="39">
        <v>0.1</v>
      </c>
      <c r="K31" s="39">
        <v>0.058</v>
      </c>
      <c r="L31" s="39">
        <v>0.067</v>
      </c>
      <c r="M31" s="39">
        <v>0.094</v>
      </c>
      <c r="N31" s="36"/>
      <c r="O31" s="36"/>
      <c r="P31" s="36"/>
      <c r="Q31" s="36">
        <v>35.85</v>
      </c>
      <c r="R31" s="39">
        <v>0.05</v>
      </c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3"/>
      <c r="IU31" s="13"/>
      <c r="IV31" s="13"/>
    </row>
    <row r="32" spans="1:256" s="7" customFormat="1" ht="12.75">
      <c r="A32" s="85" t="s">
        <v>319</v>
      </c>
      <c r="B32" s="86" t="s">
        <v>321</v>
      </c>
      <c r="C32" s="109" t="str">
        <f t="shared" si="0"/>
        <v>4 lat/a od dnia zakupu</v>
      </c>
      <c r="D32" s="109">
        <v>37316</v>
      </c>
      <c r="E32" s="109">
        <v>37346</v>
      </c>
      <c r="F32" s="110">
        <v>100</v>
      </c>
      <c r="G32" s="119"/>
      <c r="H32" s="101">
        <v>25.642</v>
      </c>
      <c r="I32" s="101"/>
      <c r="J32" s="39">
        <v>0.1</v>
      </c>
      <c r="K32" s="39">
        <v>0.054</v>
      </c>
      <c r="L32" s="39">
        <v>0.067</v>
      </c>
      <c r="M32" s="39">
        <v>0.09</v>
      </c>
      <c r="N32" s="36"/>
      <c r="O32" s="36"/>
      <c r="P32" s="36"/>
      <c r="Q32" s="36">
        <v>34.84</v>
      </c>
      <c r="R32" s="39">
        <v>0.05</v>
      </c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3"/>
      <c r="IU32" s="13"/>
      <c r="IV32" s="13"/>
    </row>
    <row r="33" spans="1:256" s="7" customFormat="1" ht="12.75">
      <c r="A33" s="85" t="s">
        <v>326</v>
      </c>
      <c r="B33" s="86" t="s">
        <v>327</v>
      </c>
      <c r="C33" s="109" t="str">
        <f t="shared" si="0"/>
        <v>4 lat/a od dnia zakupu</v>
      </c>
      <c r="D33" s="109">
        <v>37348</v>
      </c>
      <c r="E33" s="109">
        <v>37376</v>
      </c>
      <c r="F33" s="110">
        <v>100</v>
      </c>
      <c r="G33" s="119"/>
      <c r="H33" s="101">
        <v>21.6926</v>
      </c>
      <c r="I33" s="101"/>
      <c r="J33" s="39">
        <v>0.1</v>
      </c>
      <c r="K33" s="39">
        <v>0.045</v>
      </c>
      <c r="L33" s="39">
        <v>0.056</v>
      </c>
      <c r="M33" s="39">
        <v>0.076</v>
      </c>
      <c r="N33" s="36"/>
      <c r="O33" s="36"/>
      <c r="P33" s="36"/>
      <c r="Q33" s="36">
        <v>30.61</v>
      </c>
      <c r="R33" s="39">
        <v>0.04</v>
      </c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3"/>
      <c r="IU33" s="13"/>
      <c r="IV33" s="13"/>
    </row>
    <row r="34" spans="1:256" s="7" customFormat="1" ht="12.75">
      <c r="A34" s="85" t="s">
        <v>332</v>
      </c>
      <c r="B34" s="86" t="s">
        <v>333</v>
      </c>
      <c r="C34" s="109" t="str">
        <f t="shared" si="0"/>
        <v>4 lat/a od dnia zakupu</v>
      </c>
      <c r="D34" s="109">
        <v>37382</v>
      </c>
      <c r="E34" s="109">
        <v>37407</v>
      </c>
      <c r="F34" s="110">
        <v>100</v>
      </c>
      <c r="G34" s="119"/>
      <c r="H34" s="101">
        <v>12.9577</v>
      </c>
      <c r="I34" s="101"/>
      <c r="J34" s="39">
        <v>0.095</v>
      </c>
      <c r="K34" s="39">
        <v>0.046</v>
      </c>
      <c r="L34" s="39">
        <v>0.057</v>
      </c>
      <c r="M34" s="39">
        <v>0.074</v>
      </c>
      <c r="N34" s="36"/>
      <c r="O34" s="36"/>
      <c r="P34" s="36"/>
      <c r="Q34" s="36">
        <v>30.02</v>
      </c>
      <c r="R34" s="39">
        <v>0.04</v>
      </c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3"/>
      <c r="IU34" s="13"/>
      <c r="IV34" s="13"/>
    </row>
    <row r="35" spans="1:256" s="7" customFormat="1" ht="12.75">
      <c r="A35" s="85" t="s">
        <v>338</v>
      </c>
      <c r="B35" s="86" t="s">
        <v>339</v>
      </c>
      <c r="C35" s="109" t="str">
        <f t="shared" si="0"/>
        <v>4 lat/a od dnia zakupu</v>
      </c>
      <c r="D35" s="109">
        <v>37410</v>
      </c>
      <c r="E35" s="87">
        <v>37435</v>
      </c>
      <c r="F35" s="110">
        <v>100</v>
      </c>
      <c r="G35" s="119"/>
      <c r="H35" s="101">
        <v>10.9051</v>
      </c>
      <c r="I35" s="101"/>
      <c r="J35" s="39">
        <v>0.095</v>
      </c>
      <c r="K35" s="39">
        <v>0.043</v>
      </c>
      <c r="L35" s="39">
        <v>0.062</v>
      </c>
      <c r="M35" s="39">
        <v>0.07</v>
      </c>
      <c r="N35" s="36"/>
      <c r="O35" s="36"/>
      <c r="P35" s="36"/>
      <c r="Q35" s="36">
        <v>29.78</v>
      </c>
      <c r="R35" s="39">
        <v>0.04</v>
      </c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3"/>
      <c r="IU35" s="13"/>
      <c r="IV35" s="13"/>
    </row>
    <row r="36" spans="1:256" s="7" customFormat="1" ht="12.75">
      <c r="A36" s="85" t="s">
        <v>342</v>
      </c>
      <c r="B36" s="86" t="s">
        <v>343</v>
      </c>
      <c r="C36" s="87" t="str">
        <f t="shared" si="0"/>
        <v>4 lat/a od dnia zakupu</v>
      </c>
      <c r="D36" s="87">
        <v>37438</v>
      </c>
      <c r="E36" s="87">
        <v>37468</v>
      </c>
      <c r="F36" s="88">
        <v>100</v>
      </c>
      <c r="G36" s="120"/>
      <c r="H36" s="101">
        <v>13.0106</v>
      </c>
      <c r="I36" s="101"/>
      <c r="J36" s="39">
        <v>0.085</v>
      </c>
      <c r="K36" s="39">
        <v>0.044</v>
      </c>
      <c r="L36" s="39">
        <v>0.074</v>
      </c>
      <c r="M36" s="39">
        <v>0.065</v>
      </c>
      <c r="N36" s="36"/>
      <c r="O36" s="36"/>
      <c r="P36" s="36"/>
      <c r="Q36" s="36">
        <v>29.56</v>
      </c>
      <c r="R36" s="39">
        <v>0.04</v>
      </c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3"/>
      <c r="IU36" s="13"/>
      <c r="IV36" s="13"/>
    </row>
    <row r="37" spans="1:256" s="7" customFormat="1" ht="12.75">
      <c r="A37" s="85" t="s">
        <v>348</v>
      </c>
      <c r="B37" s="86" t="s">
        <v>351</v>
      </c>
      <c r="C37" s="87" t="str">
        <f t="shared" si="0"/>
        <v>4 lat/a od dnia zakupu</v>
      </c>
      <c r="D37" s="87">
        <v>37469</v>
      </c>
      <c r="E37" s="87">
        <v>37498</v>
      </c>
      <c r="F37" s="88">
        <v>100</v>
      </c>
      <c r="G37" s="120"/>
      <c r="H37" s="101">
        <v>6.18</v>
      </c>
      <c r="I37" s="101"/>
      <c r="J37" s="39">
        <v>0.082</v>
      </c>
      <c r="K37" s="39">
        <v>0.043</v>
      </c>
      <c r="L37" s="39">
        <v>0.079</v>
      </c>
      <c r="M37" s="39">
        <v>0.049</v>
      </c>
      <c r="N37" s="36"/>
      <c r="O37" s="36"/>
      <c r="P37" s="36"/>
      <c r="Q37" s="36">
        <v>27.73</v>
      </c>
      <c r="R37" s="39">
        <v>0.035</v>
      </c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3"/>
      <c r="IU37" s="13"/>
      <c r="IV37" s="13"/>
    </row>
    <row r="38" spans="1:256" s="7" customFormat="1" ht="12.75">
      <c r="A38" s="85" t="s">
        <v>349</v>
      </c>
      <c r="B38" s="86" t="s">
        <v>352</v>
      </c>
      <c r="C38" s="87" t="str">
        <f t="shared" si="0"/>
        <v>4 lat/a od dnia zakupu</v>
      </c>
      <c r="D38" s="87">
        <v>37501</v>
      </c>
      <c r="E38" s="87">
        <v>37529</v>
      </c>
      <c r="F38" s="88">
        <v>100</v>
      </c>
      <c r="G38" s="120"/>
      <c r="H38" s="101">
        <v>2.6863</v>
      </c>
      <c r="I38" s="101"/>
      <c r="J38" s="39">
        <v>0.079</v>
      </c>
      <c r="K38" s="39">
        <v>0.043</v>
      </c>
      <c r="L38" s="39">
        <v>0.081</v>
      </c>
      <c r="M38" s="39">
        <v>0.048</v>
      </c>
      <c r="N38" s="36"/>
      <c r="O38" s="36"/>
      <c r="P38" s="36"/>
      <c r="Q38" s="36">
        <v>27.49</v>
      </c>
      <c r="R38" s="39">
        <v>0.035</v>
      </c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3"/>
      <c r="IU38" s="13"/>
      <c r="IV38" s="13"/>
    </row>
    <row r="39" spans="1:256" s="7" customFormat="1" ht="12.75">
      <c r="A39" s="85" t="s">
        <v>350</v>
      </c>
      <c r="B39" s="86" t="s">
        <v>353</v>
      </c>
      <c r="C39" s="87" t="str">
        <f t="shared" si="0"/>
        <v>4 lat/a od dnia zakupu</v>
      </c>
      <c r="D39" s="87">
        <v>37530</v>
      </c>
      <c r="E39" s="87">
        <v>37560</v>
      </c>
      <c r="F39" s="88">
        <v>100</v>
      </c>
      <c r="G39" s="120"/>
      <c r="H39" s="101">
        <v>4.6127</v>
      </c>
      <c r="I39" s="101"/>
      <c r="J39" s="39">
        <v>0.074</v>
      </c>
      <c r="K39" s="39">
        <v>0.042</v>
      </c>
      <c r="L39" s="39">
        <v>0.081</v>
      </c>
      <c r="M39" s="39">
        <v>0.051</v>
      </c>
      <c r="N39" s="36"/>
      <c r="O39" s="36"/>
      <c r="P39" s="36"/>
      <c r="Q39" s="36">
        <v>27.15</v>
      </c>
      <c r="R39" s="39">
        <v>0.035</v>
      </c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3"/>
      <c r="IU39" s="13"/>
      <c r="IV39" s="13"/>
    </row>
    <row r="40" spans="1:256" s="7" customFormat="1" ht="12.75">
      <c r="A40" s="85" t="s">
        <v>368</v>
      </c>
      <c r="B40" s="86" t="s">
        <v>370</v>
      </c>
      <c r="C40" s="87" t="str">
        <f t="shared" si="0"/>
        <v>4 lat/a od dnia zakupu</v>
      </c>
      <c r="D40" s="87">
        <v>37564</v>
      </c>
      <c r="E40" s="87">
        <v>37589</v>
      </c>
      <c r="F40" s="88">
        <v>100</v>
      </c>
      <c r="G40" s="120"/>
      <c r="H40" s="101">
        <v>16.1117</v>
      </c>
      <c r="I40" s="101"/>
      <c r="J40" s="39">
        <v>0.07</v>
      </c>
      <c r="K40" s="39">
        <v>0.044</v>
      </c>
      <c r="L40" s="39">
        <v>0.079</v>
      </c>
      <c r="M40" s="39">
        <v>0.053000000000000005</v>
      </c>
      <c r="N40" s="36"/>
      <c r="O40" s="36"/>
      <c r="P40" s="36"/>
      <c r="Q40" s="36">
        <v>26.92</v>
      </c>
      <c r="R40" s="39">
        <v>0.035</v>
      </c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3"/>
      <c r="IU40" s="13"/>
      <c r="IV40" s="13"/>
    </row>
    <row r="41" spans="1:256" s="25" customFormat="1" ht="12.75">
      <c r="A41" s="90" t="s">
        <v>369</v>
      </c>
      <c r="B41" s="91" t="s">
        <v>371</v>
      </c>
      <c r="C41" s="111" t="str">
        <f t="shared" si="0"/>
        <v>4 lat/a od dnia zakupu</v>
      </c>
      <c r="D41" s="111">
        <v>37592</v>
      </c>
      <c r="E41" s="111">
        <v>37621</v>
      </c>
      <c r="F41" s="112">
        <v>100</v>
      </c>
      <c r="G41" s="121"/>
      <c r="H41" s="106">
        <v>8.8554</v>
      </c>
      <c r="I41" s="106"/>
      <c r="J41" s="41">
        <v>0.065</v>
      </c>
      <c r="K41" s="41">
        <v>0.048</v>
      </c>
      <c r="L41" s="41">
        <v>0.08</v>
      </c>
      <c r="M41" s="41">
        <v>0.051</v>
      </c>
      <c r="N41" s="38"/>
      <c r="O41" s="38"/>
      <c r="P41" s="38"/>
      <c r="Q41" s="38">
        <v>26.68999999999999</v>
      </c>
      <c r="R41" s="41">
        <v>0.035</v>
      </c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3"/>
      <c r="IU41" s="13"/>
      <c r="IV41" s="13"/>
    </row>
    <row r="42" spans="1:256" s="7" customFormat="1" ht="12.75">
      <c r="A42" s="113" t="s">
        <v>376</v>
      </c>
      <c r="B42" s="114" t="s">
        <v>380</v>
      </c>
      <c r="C42" s="115" t="str">
        <f t="shared" si="0"/>
        <v>4 lat/a od dnia zakupu</v>
      </c>
      <c r="D42" s="115">
        <v>37623</v>
      </c>
      <c r="E42" s="115">
        <v>37652</v>
      </c>
      <c r="F42" s="116">
        <v>100</v>
      </c>
      <c r="G42" s="117"/>
      <c r="H42" s="118">
        <v>8.609</v>
      </c>
      <c r="I42" s="118"/>
      <c r="J42" s="40">
        <v>0.06</v>
      </c>
      <c r="K42" s="40">
        <v>0.051</v>
      </c>
      <c r="L42" s="40">
        <v>0.08</v>
      </c>
      <c r="M42" s="40">
        <v>0.045</v>
      </c>
      <c r="N42" s="37"/>
      <c r="O42" s="37"/>
      <c r="P42" s="37"/>
      <c r="Q42" s="37">
        <v>25.73</v>
      </c>
      <c r="R42" s="40">
        <v>0.035</v>
      </c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3"/>
      <c r="IU42" s="13"/>
      <c r="IV42" s="13"/>
    </row>
    <row r="43" spans="1:256" s="7" customFormat="1" ht="12.75">
      <c r="A43" s="85" t="s">
        <v>377</v>
      </c>
      <c r="B43" s="86" t="s">
        <v>381</v>
      </c>
      <c r="C43" s="109" t="str">
        <f t="shared" si="0"/>
        <v>4 lat/a od dnia zakupu</v>
      </c>
      <c r="D43" s="109">
        <v>37655</v>
      </c>
      <c r="E43" s="109">
        <v>37680</v>
      </c>
      <c r="F43" s="110">
        <v>100</v>
      </c>
      <c r="G43" s="119"/>
      <c r="H43" s="101">
        <v>15.1366</v>
      </c>
      <c r="I43" s="101"/>
      <c r="J43" s="39">
        <v>0.06</v>
      </c>
      <c r="K43" s="39">
        <v>0.052</v>
      </c>
      <c r="L43" s="39">
        <v>0.079</v>
      </c>
      <c r="M43" s="39">
        <v>0.042</v>
      </c>
      <c r="N43" s="36"/>
      <c r="O43" s="36"/>
      <c r="P43" s="36"/>
      <c r="Q43" s="36">
        <v>25.374948816</v>
      </c>
      <c r="R43" s="39">
        <v>0.035</v>
      </c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3"/>
      <c r="IU43" s="13"/>
      <c r="IV43" s="13"/>
    </row>
    <row r="44" spans="1:18" ht="12.75">
      <c r="A44" s="85" t="s">
        <v>384</v>
      </c>
      <c r="B44" s="86" t="s">
        <v>385</v>
      </c>
      <c r="C44" s="109" t="str">
        <f t="shared" si="0"/>
        <v>4 lat/a od dnia zakupu</v>
      </c>
      <c r="D44" s="109">
        <v>37683</v>
      </c>
      <c r="E44" s="109">
        <v>37708</v>
      </c>
      <c r="F44" s="110">
        <v>100</v>
      </c>
      <c r="G44" s="119"/>
      <c r="H44" s="101">
        <v>4.6722</v>
      </c>
      <c r="I44" s="101"/>
      <c r="J44" s="39">
        <v>0.06</v>
      </c>
      <c r="K44" s="39">
        <v>0.047</v>
      </c>
      <c r="L44" s="39">
        <v>0.07</v>
      </c>
      <c r="M44" s="39">
        <v>0.037</v>
      </c>
      <c r="N44" s="36"/>
      <c r="O44" s="36"/>
      <c r="P44" s="36"/>
      <c r="Q44" s="36">
        <v>23.14</v>
      </c>
      <c r="R44" s="39">
        <v>0.03</v>
      </c>
    </row>
    <row r="45" spans="1:18" ht="12.75">
      <c r="A45" s="85" t="s">
        <v>386</v>
      </c>
      <c r="B45" s="86" t="s">
        <v>387</v>
      </c>
      <c r="C45" s="109" t="str">
        <f t="shared" si="0"/>
        <v>4 lat/a od dnia zakupu</v>
      </c>
      <c r="D45" s="109">
        <v>37712</v>
      </c>
      <c r="E45" s="109">
        <v>37741</v>
      </c>
      <c r="F45" s="110">
        <v>100</v>
      </c>
      <c r="G45" s="119"/>
      <c r="H45" s="101">
        <v>4.6056</v>
      </c>
      <c r="I45" s="101"/>
      <c r="J45" s="39">
        <v>0.058</v>
      </c>
      <c r="K45" s="39">
        <v>0.046</v>
      </c>
      <c r="L45" s="39">
        <v>0.066</v>
      </c>
      <c r="M45" s="39">
        <v>0.037</v>
      </c>
      <c r="N45" s="36"/>
      <c r="O45" s="36"/>
      <c r="P45" s="36"/>
      <c r="Q45" s="36">
        <v>22.34</v>
      </c>
      <c r="R45" s="39">
        <v>0.03</v>
      </c>
    </row>
    <row r="46" spans="1:18" ht="12.75">
      <c r="A46" s="85" t="s">
        <v>391</v>
      </c>
      <c r="B46" s="86" t="s">
        <v>392</v>
      </c>
      <c r="C46" s="109" t="str">
        <f t="shared" si="0"/>
        <v>4 lat/a od dnia zakupu</v>
      </c>
      <c r="D46" s="109">
        <v>37746</v>
      </c>
      <c r="E46" s="109">
        <v>37771</v>
      </c>
      <c r="F46" s="110">
        <v>100</v>
      </c>
      <c r="G46" s="119"/>
      <c r="H46" s="101">
        <v>5.5738</v>
      </c>
      <c r="I46" s="101"/>
      <c r="J46" s="39">
        <v>0.055</v>
      </c>
      <c r="K46" s="39">
        <v>0.047</v>
      </c>
      <c r="L46" s="39">
        <v>0.064</v>
      </c>
      <c r="M46" s="39">
        <v>0.034</v>
      </c>
      <c r="N46" s="36"/>
      <c r="O46" s="36"/>
      <c r="P46" s="36"/>
      <c r="Q46" s="36">
        <v>21.52</v>
      </c>
      <c r="R46" s="39">
        <v>0.03</v>
      </c>
    </row>
    <row r="47" spans="1:18" ht="12.75">
      <c r="A47" s="85" t="s">
        <v>397</v>
      </c>
      <c r="B47" s="86" t="s">
        <v>415</v>
      </c>
      <c r="C47" s="109" t="str">
        <f t="shared" si="0"/>
        <v>4 lat/a od dnia zakupu</v>
      </c>
      <c r="D47" s="109">
        <v>37774</v>
      </c>
      <c r="E47" s="87">
        <v>37802</v>
      </c>
      <c r="F47" s="110">
        <v>100</v>
      </c>
      <c r="G47" s="119"/>
      <c r="H47" s="101">
        <v>3.9666</v>
      </c>
      <c r="I47" s="101"/>
      <c r="J47" s="39">
        <v>0.05</v>
      </c>
      <c r="K47" s="39">
        <v>0.052</v>
      </c>
      <c r="L47" s="39">
        <v>0.06</v>
      </c>
      <c r="M47" s="39">
        <v>0.037</v>
      </c>
      <c r="N47" s="36"/>
      <c r="O47" s="36"/>
      <c r="P47" s="36"/>
      <c r="Q47" s="36">
        <v>21.42</v>
      </c>
      <c r="R47" s="39">
        <v>0.03</v>
      </c>
    </row>
    <row r="48" spans="1:18" ht="12.75">
      <c r="A48" s="85" t="s">
        <v>398</v>
      </c>
      <c r="B48" s="86" t="s">
        <v>416</v>
      </c>
      <c r="C48" s="87" t="str">
        <f t="shared" si="0"/>
        <v>4 lat/a od dnia zakupu</v>
      </c>
      <c r="D48" s="87">
        <v>37803</v>
      </c>
      <c r="E48" s="87">
        <v>37827</v>
      </c>
      <c r="F48" s="88">
        <v>100</v>
      </c>
      <c r="G48" s="120"/>
      <c r="H48" s="101">
        <v>6.1085</v>
      </c>
      <c r="I48" s="101"/>
      <c r="J48" s="39">
        <v>0.05</v>
      </c>
      <c r="K48" s="39">
        <v>0.064</v>
      </c>
      <c r="L48" s="39">
        <v>0.055</v>
      </c>
      <c r="M48" s="39">
        <v>0.039</v>
      </c>
      <c r="N48" s="36"/>
      <c r="O48" s="36"/>
      <c r="P48" s="36"/>
      <c r="Q48" s="36">
        <v>22.46</v>
      </c>
      <c r="R48" s="39">
        <v>0.03</v>
      </c>
    </row>
    <row r="49" spans="1:18" ht="12.75">
      <c r="A49" s="85" t="s">
        <v>399</v>
      </c>
      <c r="B49" s="86" t="s">
        <v>417</v>
      </c>
      <c r="C49" s="87" t="str">
        <f t="shared" si="0"/>
        <v>4 lat/a od dnia zakupu</v>
      </c>
      <c r="D49" s="87">
        <v>37834</v>
      </c>
      <c r="E49" s="87">
        <v>37863</v>
      </c>
      <c r="F49" s="88">
        <v>100</v>
      </c>
      <c r="G49" s="120"/>
      <c r="H49" s="101">
        <v>27.0098</v>
      </c>
      <c r="I49" s="101"/>
      <c r="J49" s="39">
        <v>0.053</v>
      </c>
      <c r="K49" s="39">
        <v>0.074</v>
      </c>
      <c r="L49" s="39">
        <v>0.044</v>
      </c>
      <c r="M49" s="39">
        <v>0.038</v>
      </c>
      <c r="N49" s="36">
        <v>5.3</v>
      </c>
      <c r="O49" s="36">
        <v>7.4</v>
      </c>
      <c r="P49" s="36">
        <v>4.4</v>
      </c>
      <c r="Q49" s="36">
        <v>3.8</v>
      </c>
      <c r="R49" s="39">
        <v>0.03</v>
      </c>
    </row>
    <row r="50" spans="1:18" ht="12.75">
      <c r="A50" s="85" t="s">
        <v>404</v>
      </c>
      <c r="B50" s="86" t="s">
        <v>418</v>
      </c>
      <c r="C50" s="87" t="str">
        <f t="shared" si="0"/>
        <v>4 lat/a od dnia zakupu</v>
      </c>
      <c r="D50" s="87">
        <v>37865</v>
      </c>
      <c r="E50" s="87">
        <v>37894</v>
      </c>
      <c r="F50" s="88">
        <v>100</v>
      </c>
      <c r="G50" s="120"/>
      <c r="H50" s="101">
        <v>10.5977</v>
      </c>
      <c r="I50" s="101"/>
      <c r="J50" s="39">
        <v>0.05</v>
      </c>
      <c r="K50" s="39">
        <v>0.076</v>
      </c>
      <c r="L50" s="39">
        <v>0.043</v>
      </c>
      <c r="M50" s="39">
        <v>0.041</v>
      </c>
      <c r="N50" s="36">
        <v>5</v>
      </c>
      <c r="O50" s="36">
        <v>7.6</v>
      </c>
      <c r="P50" s="36">
        <v>4.3</v>
      </c>
      <c r="Q50" s="36">
        <v>4.1</v>
      </c>
      <c r="R50" s="39">
        <v>0.03</v>
      </c>
    </row>
    <row r="51" spans="1:18" ht="12.75">
      <c r="A51" s="85" t="s">
        <v>405</v>
      </c>
      <c r="B51" s="86" t="s">
        <v>419</v>
      </c>
      <c r="C51" s="87" t="str">
        <f t="shared" si="0"/>
        <v>4 lat/a od dnia zakupu</v>
      </c>
      <c r="D51" s="87">
        <v>37895</v>
      </c>
      <c r="E51" s="87">
        <v>37925</v>
      </c>
      <c r="F51" s="88">
        <v>100</v>
      </c>
      <c r="G51" s="120"/>
      <c r="H51" s="101">
        <v>7.8122</v>
      </c>
      <c r="I51" s="101"/>
      <c r="J51" s="39">
        <v>0.05</v>
      </c>
      <c r="K51" s="39">
        <v>0.076</v>
      </c>
      <c r="L51" s="39">
        <v>0.046</v>
      </c>
      <c r="M51" s="39">
        <v>0.046</v>
      </c>
      <c r="N51" s="36">
        <v>5</v>
      </c>
      <c r="O51" s="36">
        <v>7.6</v>
      </c>
      <c r="P51" s="36">
        <v>4.6</v>
      </c>
      <c r="Q51" s="36">
        <v>4.6</v>
      </c>
      <c r="R51" s="39">
        <v>0.03</v>
      </c>
    </row>
    <row r="52" spans="1:18" ht="12.75">
      <c r="A52" s="85" t="s">
        <v>409</v>
      </c>
      <c r="B52" s="86" t="s">
        <v>420</v>
      </c>
      <c r="C52" s="87" t="str">
        <f t="shared" si="0"/>
        <v>4 lat/a od dnia zakupu</v>
      </c>
      <c r="D52" s="87">
        <v>37928</v>
      </c>
      <c r="E52" s="87">
        <v>37954</v>
      </c>
      <c r="F52" s="88">
        <v>100</v>
      </c>
      <c r="G52" s="120"/>
      <c r="H52" s="101">
        <v>5.9389</v>
      </c>
      <c r="I52" s="101"/>
      <c r="J52" s="39">
        <v>0.053</v>
      </c>
      <c r="K52" s="39">
        <v>0.074</v>
      </c>
      <c r="L52" s="39">
        <v>0.048</v>
      </c>
      <c r="M52" s="39">
        <v>0.046</v>
      </c>
      <c r="N52" s="36">
        <v>5.3</v>
      </c>
      <c r="O52" s="36">
        <v>7.4</v>
      </c>
      <c r="P52" s="36">
        <v>4.8</v>
      </c>
      <c r="Q52" s="36">
        <v>4.6</v>
      </c>
      <c r="R52" s="39">
        <v>0.03</v>
      </c>
    </row>
    <row r="53" spans="1:256" s="25" customFormat="1" ht="12.75">
      <c r="A53" s="90" t="s">
        <v>410</v>
      </c>
      <c r="B53" s="91" t="s">
        <v>421</v>
      </c>
      <c r="C53" s="111" t="str">
        <f t="shared" si="0"/>
        <v>4 lat/a od dnia zakupu</v>
      </c>
      <c r="D53" s="111">
        <v>37956</v>
      </c>
      <c r="E53" s="111">
        <v>37986</v>
      </c>
      <c r="F53" s="112">
        <v>100</v>
      </c>
      <c r="G53" s="121"/>
      <c r="H53" s="106">
        <v>5.9963</v>
      </c>
      <c r="I53" s="106"/>
      <c r="J53" s="41">
        <v>0.058</v>
      </c>
      <c r="K53" s="41">
        <v>0.075</v>
      </c>
      <c r="L53" s="41">
        <v>0.046</v>
      </c>
      <c r="M53" s="41">
        <v>0.042</v>
      </c>
      <c r="N53" s="38">
        <v>5.8</v>
      </c>
      <c r="O53" s="38">
        <v>7.5</v>
      </c>
      <c r="P53" s="38">
        <v>4.6</v>
      </c>
      <c r="Q53" s="38">
        <v>4.2</v>
      </c>
      <c r="R53" s="41">
        <v>0.03</v>
      </c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3"/>
      <c r="IU53" s="13"/>
      <c r="IV53" s="13"/>
    </row>
    <row r="54" spans="1:18" ht="12.75">
      <c r="A54" s="113" t="s">
        <v>429</v>
      </c>
      <c r="B54" s="114" t="s">
        <v>452</v>
      </c>
      <c r="C54" s="115" t="str">
        <f t="shared" si="0"/>
        <v>4 lat/a od dnia zakupu</v>
      </c>
      <c r="D54" s="115">
        <v>37988</v>
      </c>
      <c r="E54" s="115">
        <v>38017</v>
      </c>
      <c r="F54" s="116">
        <v>100</v>
      </c>
      <c r="G54" s="117"/>
      <c r="H54" s="118">
        <v>9.5093</v>
      </c>
      <c r="I54" s="118"/>
      <c r="J54" s="40">
        <v>0.061</v>
      </c>
      <c r="K54" s="40">
        <v>0.075</v>
      </c>
      <c r="L54" s="40">
        <v>0.04</v>
      </c>
      <c r="M54" s="40">
        <v>0.044</v>
      </c>
      <c r="N54" s="37">
        <v>6.1</v>
      </c>
      <c r="O54" s="37">
        <v>7.5</v>
      </c>
      <c r="P54" s="37">
        <v>4</v>
      </c>
      <c r="Q54" s="37">
        <v>4.4</v>
      </c>
      <c r="R54" s="40">
        <v>0.03</v>
      </c>
    </row>
    <row r="55" spans="1:18" ht="12.75">
      <c r="A55" s="85" t="s">
        <v>430</v>
      </c>
      <c r="B55" s="86" t="s">
        <v>449</v>
      </c>
      <c r="C55" s="109" t="str">
        <f t="shared" si="0"/>
        <v>4 lat/a od dnia zakupu</v>
      </c>
      <c r="D55" s="109">
        <v>38019</v>
      </c>
      <c r="E55" s="109">
        <v>38045</v>
      </c>
      <c r="F55" s="110">
        <v>100</v>
      </c>
      <c r="G55" s="119"/>
      <c r="H55" s="101">
        <v>14.146</v>
      </c>
      <c r="I55" s="101"/>
      <c r="J55" s="39">
        <v>0.062</v>
      </c>
      <c r="K55" s="39">
        <v>0.074</v>
      </c>
      <c r="L55" s="39">
        <v>0.037</v>
      </c>
      <c r="M55" s="39">
        <v>0.044</v>
      </c>
      <c r="N55" s="36">
        <v>6.2</v>
      </c>
      <c r="O55" s="36">
        <v>7.4</v>
      </c>
      <c r="P55" s="36">
        <v>3.7</v>
      </c>
      <c r="Q55" s="36">
        <v>4.4</v>
      </c>
      <c r="R55" s="39">
        <v>0.03</v>
      </c>
    </row>
    <row r="56" spans="1:18" ht="12.75">
      <c r="A56" s="85" t="s">
        <v>431</v>
      </c>
      <c r="B56" s="86" t="s">
        <v>450</v>
      </c>
      <c r="C56" s="109" t="str">
        <f t="shared" si="0"/>
        <v>4 lat/a od dnia zakupu</v>
      </c>
      <c r="D56" s="109">
        <v>38047</v>
      </c>
      <c r="E56" s="109">
        <v>38077</v>
      </c>
      <c r="F56" s="110">
        <v>100</v>
      </c>
      <c r="G56" s="119"/>
      <c r="H56" s="101">
        <v>12.5847</v>
      </c>
      <c r="I56" s="101"/>
      <c r="J56" s="39">
        <v>0.062</v>
      </c>
      <c r="K56" s="39">
        <v>0.07</v>
      </c>
      <c r="L56" s="39">
        <v>0.037</v>
      </c>
      <c r="M56" s="39">
        <v>0.047</v>
      </c>
      <c r="N56" s="36">
        <v>6.2</v>
      </c>
      <c r="O56" s="36">
        <v>7</v>
      </c>
      <c r="P56" s="36">
        <v>3.7</v>
      </c>
      <c r="Q56" s="36">
        <v>4.7</v>
      </c>
      <c r="R56" s="39">
        <v>0.03</v>
      </c>
    </row>
    <row r="57" spans="1:18" ht="12.75">
      <c r="A57" s="85" t="s">
        <v>455</v>
      </c>
      <c r="B57" s="86" t="s">
        <v>451</v>
      </c>
      <c r="C57" s="109" t="str">
        <f t="shared" si="0"/>
        <v>4 lat/a od dnia zakupu</v>
      </c>
      <c r="D57" s="109">
        <v>38078</v>
      </c>
      <c r="E57" s="109">
        <v>38107</v>
      </c>
      <c r="F57" s="110">
        <v>100</v>
      </c>
      <c r="G57" s="119"/>
      <c r="H57" s="101">
        <v>9.5488</v>
      </c>
      <c r="I57" s="101"/>
      <c r="J57" s="39">
        <v>0.062</v>
      </c>
      <c r="K57" s="39">
        <v>0.071</v>
      </c>
      <c r="L57" s="39">
        <v>0.042</v>
      </c>
      <c r="M57" s="39">
        <v>0.054000000000000006</v>
      </c>
      <c r="N57" s="36">
        <v>6.2</v>
      </c>
      <c r="O57" s="36">
        <v>7.1</v>
      </c>
      <c r="P57" s="36">
        <v>4.2</v>
      </c>
      <c r="Q57" s="36">
        <v>5.4</v>
      </c>
      <c r="R57" s="39">
        <v>0.035</v>
      </c>
    </row>
    <row r="58" spans="1:18" ht="12.75">
      <c r="A58" s="85" t="s">
        <v>460</v>
      </c>
      <c r="B58" s="86" t="s">
        <v>461</v>
      </c>
      <c r="C58" s="109" t="str">
        <f t="shared" si="0"/>
        <v>4 lat/a od dnia zakupu</v>
      </c>
      <c r="D58" s="109">
        <v>38111</v>
      </c>
      <c r="E58" s="109">
        <v>38138</v>
      </c>
      <c r="F58" s="110">
        <v>100</v>
      </c>
      <c r="G58" s="119"/>
      <c r="H58" s="101">
        <v>15.6276</v>
      </c>
      <c r="I58" s="101"/>
      <c r="J58" s="39">
        <v>0.065</v>
      </c>
      <c r="K58" s="39">
        <v>0.069</v>
      </c>
      <c r="L58" s="39">
        <v>0.039</v>
      </c>
      <c r="M58" s="39">
        <v>0.060000000000000005</v>
      </c>
      <c r="N58" s="36">
        <v>6.5</v>
      </c>
      <c r="O58" s="36">
        <v>6.9</v>
      </c>
      <c r="P58" s="36">
        <v>3.9</v>
      </c>
      <c r="Q58" s="36">
        <v>6</v>
      </c>
      <c r="R58" s="39">
        <v>0.035</v>
      </c>
    </row>
    <row r="59" spans="1:18" ht="12.75">
      <c r="A59" s="85" t="s">
        <v>468</v>
      </c>
      <c r="B59" s="86" t="s">
        <v>470</v>
      </c>
      <c r="C59" s="109" t="str">
        <f t="shared" si="0"/>
        <v>4 lat/a od dnia zakupu</v>
      </c>
      <c r="D59" s="109">
        <v>38139</v>
      </c>
      <c r="E59" s="87">
        <v>38168</v>
      </c>
      <c r="F59" s="110">
        <v>100</v>
      </c>
      <c r="G59" s="119"/>
      <c r="H59" s="101">
        <v>20.0871</v>
      </c>
      <c r="I59" s="101"/>
      <c r="J59" s="39">
        <v>0.068</v>
      </c>
      <c r="K59" s="39">
        <v>0.065</v>
      </c>
      <c r="L59" s="39">
        <v>0.042</v>
      </c>
      <c r="M59" s="39">
        <v>0.058</v>
      </c>
      <c r="N59" s="36">
        <v>6.8</v>
      </c>
      <c r="O59" s="36">
        <v>6.5</v>
      </c>
      <c r="P59" s="36">
        <v>4.2</v>
      </c>
      <c r="Q59" s="36">
        <v>5.8</v>
      </c>
      <c r="R59" s="39">
        <v>0.035</v>
      </c>
    </row>
    <row r="60" spans="1:18" ht="12.75">
      <c r="A60" s="85" t="s">
        <v>469</v>
      </c>
      <c r="B60" s="86" t="s">
        <v>471</v>
      </c>
      <c r="C60" s="87" t="str">
        <f t="shared" si="0"/>
        <v>4 lat/a od dnia zakupu</v>
      </c>
      <c r="D60" s="87">
        <v>38169</v>
      </c>
      <c r="E60" s="87">
        <v>38198</v>
      </c>
      <c r="F60" s="88">
        <v>100</v>
      </c>
      <c r="G60" s="120"/>
      <c r="H60" s="101">
        <v>38.619</v>
      </c>
      <c r="I60" s="101"/>
      <c r="J60" s="39">
        <v>0.069</v>
      </c>
      <c r="K60" s="39">
        <v>0.06</v>
      </c>
      <c r="L60" s="39">
        <v>0.044</v>
      </c>
      <c r="M60" s="39">
        <v>0.058</v>
      </c>
      <c r="N60" s="36">
        <v>6.9</v>
      </c>
      <c r="O60" s="36">
        <v>6</v>
      </c>
      <c r="P60" s="36">
        <v>4.4</v>
      </c>
      <c r="Q60" s="36">
        <v>5.8</v>
      </c>
      <c r="R60" s="39">
        <v>0.035</v>
      </c>
    </row>
    <row r="61" spans="1:18" ht="12.75">
      <c r="A61" s="85" t="s">
        <v>478</v>
      </c>
      <c r="B61" s="86" t="s">
        <v>479</v>
      </c>
      <c r="C61" s="87" t="str">
        <f t="shared" si="0"/>
        <v>4 lat/a od dnia zakupu</v>
      </c>
      <c r="D61" s="87">
        <v>38201</v>
      </c>
      <c r="E61" s="87">
        <v>38230</v>
      </c>
      <c r="F61" s="88">
        <v>100</v>
      </c>
      <c r="G61" s="120"/>
      <c r="H61" s="101">
        <v>31.8913</v>
      </c>
      <c r="I61" s="101"/>
      <c r="J61" s="39">
        <v>0.07</v>
      </c>
      <c r="K61" s="39">
        <v>0.049</v>
      </c>
      <c r="L61" s="39">
        <v>0.043</v>
      </c>
      <c r="M61" s="39">
        <v>0.061</v>
      </c>
      <c r="N61" s="36">
        <v>7</v>
      </c>
      <c r="O61" s="36">
        <v>4.9</v>
      </c>
      <c r="P61" s="36">
        <v>4.3</v>
      </c>
      <c r="Q61" s="36">
        <v>6.1</v>
      </c>
      <c r="R61" s="39">
        <v>0.035</v>
      </c>
    </row>
    <row r="62" spans="1:18" ht="12.75">
      <c r="A62" s="85" t="s">
        <v>482</v>
      </c>
      <c r="B62" s="86" t="s">
        <v>487</v>
      </c>
      <c r="C62" s="87" t="str">
        <f t="shared" si="0"/>
        <v>4 lat/a od dnia zakupu</v>
      </c>
      <c r="D62" s="87">
        <v>38231</v>
      </c>
      <c r="E62" s="87">
        <v>38260</v>
      </c>
      <c r="F62" s="88">
        <v>100</v>
      </c>
      <c r="G62" s="120"/>
      <c r="H62" s="101">
        <v>19.1718</v>
      </c>
      <c r="I62" s="101"/>
      <c r="J62" s="39">
        <v>0.07</v>
      </c>
      <c r="K62" s="39">
        <v>0.048</v>
      </c>
      <c r="L62" s="39">
        <v>0.046000000000000006</v>
      </c>
      <c r="M62" s="39">
        <v>0.058</v>
      </c>
      <c r="N62" s="36">
        <v>7</v>
      </c>
      <c r="O62" s="36">
        <v>4.8</v>
      </c>
      <c r="P62" s="36">
        <v>4.6</v>
      </c>
      <c r="Q62" s="36">
        <v>5.8</v>
      </c>
      <c r="R62" s="39">
        <v>0.035</v>
      </c>
    </row>
    <row r="63" spans="1:18" ht="12.75">
      <c r="A63" s="85" t="s">
        <v>488</v>
      </c>
      <c r="B63" s="86" t="s">
        <v>489</v>
      </c>
      <c r="C63" s="87" t="str">
        <f t="shared" si="0"/>
        <v>4 lat/a od dnia zakupu</v>
      </c>
      <c r="D63" s="87">
        <v>38261</v>
      </c>
      <c r="E63" s="87">
        <v>38291</v>
      </c>
      <c r="F63" s="88">
        <v>100</v>
      </c>
      <c r="G63" s="120"/>
      <c r="H63" s="101">
        <v>13.3545</v>
      </c>
      <c r="I63" s="101"/>
      <c r="J63" s="39">
        <v>0.07</v>
      </c>
      <c r="K63" s="39">
        <v>0.051</v>
      </c>
      <c r="L63" s="39">
        <v>0.051</v>
      </c>
      <c r="M63" s="39">
        <v>0.05</v>
      </c>
      <c r="N63" s="36">
        <v>7</v>
      </c>
      <c r="O63" s="36">
        <v>5.1</v>
      </c>
      <c r="P63" s="36">
        <v>5.1</v>
      </c>
      <c r="Q63" s="36">
        <v>5</v>
      </c>
      <c r="R63" s="39">
        <v>0.035</v>
      </c>
    </row>
    <row r="64" spans="1:18" ht="12.75">
      <c r="A64" s="85" t="s">
        <v>497</v>
      </c>
      <c r="B64" s="86" t="s">
        <v>498</v>
      </c>
      <c r="C64" s="87" t="str">
        <f t="shared" si="0"/>
        <v>4 lat/a od dnia zakupu</v>
      </c>
      <c r="D64" s="87">
        <v>38292</v>
      </c>
      <c r="E64" s="87">
        <v>38321</v>
      </c>
      <c r="F64" s="88">
        <v>100</v>
      </c>
      <c r="G64" s="120"/>
      <c r="H64" s="101">
        <v>25.5106</v>
      </c>
      <c r="I64" s="101"/>
      <c r="J64" s="39">
        <v>0.069</v>
      </c>
      <c r="K64" s="39">
        <v>0.053000000000000005</v>
      </c>
      <c r="L64" s="39">
        <v>0.051</v>
      </c>
      <c r="M64" s="39">
        <v>0.058</v>
      </c>
      <c r="N64" s="36">
        <v>6.9</v>
      </c>
      <c r="O64" s="36">
        <v>5.3</v>
      </c>
      <c r="P64" s="36">
        <v>5.1</v>
      </c>
      <c r="Q64" s="36">
        <v>5.8</v>
      </c>
      <c r="R64" s="39">
        <v>0.035</v>
      </c>
    </row>
    <row r="65" spans="1:256" s="25" customFormat="1" ht="12.75">
      <c r="A65" s="90" t="s">
        <v>503</v>
      </c>
      <c r="B65" s="91" t="s">
        <v>504</v>
      </c>
      <c r="C65" s="111" t="str">
        <f t="shared" si="0"/>
        <v>4 lat/a od dnia zakupu</v>
      </c>
      <c r="D65" s="111">
        <v>38322</v>
      </c>
      <c r="E65" s="111">
        <v>38352</v>
      </c>
      <c r="F65" s="112">
        <v>100</v>
      </c>
      <c r="G65" s="121"/>
      <c r="H65" s="106">
        <v>20.1175</v>
      </c>
      <c r="I65" s="106"/>
      <c r="J65" s="41">
        <v>0.067</v>
      </c>
      <c r="K65" s="41">
        <v>0.051</v>
      </c>
      <c r="L65" s="41">
        <v>0.047</v>
      </c>
      <c r="M65" s="41">
        <v>0.065</v>
      </c>
      <c r="N65" s="38">
        <v>6.7</v>
      </c>
      <c r="O65" s="38">
        <v>5.1</v>
      </c>
      <c r="P65" s="38">
        <v>4.7</v>
      </c>
      <c r="Q65" s="38">
        <v>6.5</v>
      </c>
      <c r="R65" s="41">
        <v>0.035</v>
      </c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3"/>
      <c r="IU65" s="13"/>
      <c r="IV65" s="13"/>
    </row>
    <row r="66" spans="1:18" ht="12.75">
      <c r="A66" s="113" t="s">
        <v>512</v>
      </c>
      <c r="B66" s="114" t="s">
        <v>513</v>
      </c>
      <c r="C66" s="115" t="str">
        <f t="shared" si="0"/>
        <v>4 lat/a od dnia zakupu</v>
      </c>
      <c r="D66" s="115">
        <v>38355</v>
      </c>
      <c r="E66" s="115">
        <v>38383</v>
      </c>
      <c r="F66" s="116">
        <v>100</v>
      </c>
      <c r="G66" s="117"/>
      <c r="H66" s="118">
        <v>10.9667</v>
      </c>
      <c r="I66" s="118"/>
      <c r="J66" s="40">
        <v>0.065</v>
      </c>
      <c r="K66" s="40">
        <v>0.04</v>
      </c>
      <c r="L66" s="40">
        <v>0.044</v>
      </c>
      <c r="M66" s="40">
        <v>0.066</v>
      </c>
      <c r="N66" s="37">
        <v>6.5</v>
      </c>
      <c r="O66" s="37">
        <v>4</v>
      </c>
      <c r="P66" s="37">
        <v>4.4</v>
      </c>
      <c r="Q66" s="37">
        <v>6.6</v>
      </c>
      <c r="R66" s="40">
        <v>0.03</v>
      </c>
    </row>
    <row r="67" spans="1:18" ht="12.75">
      <c r="A67" s="85" t="s">
        <v>520</v>
      </c>
      <c r="B67" s="86" t="s">
        <v>521</v>
      </c>
      <c r="C67" s="109" t="str">
        <f aca="true" t="shared" si="1" ref="C67:C97">"4"&amp;WykupCOI</f>
        <v>4 lat/a od dnia zakupu</v>
      </c>
      <c r="D67" s="109">
        <v>38384</v>
      </c>
      <c r="E67" s="109">
        <v>38411</v>
      </c>
      <c r="F67" s="110">
        <v>100</v>
      </c>
      <c r="G67" s="119"/>
      <c r="H67" s="101">
        <v>25.1714</v>
      </c>
      <c r="I67" s="101"/>
      <c r="J67" s="39">
        <v>0.065</v>
      </c>
      <c r="K67" s="39">
        <v>0.037</v>
      </c>
      <c r="L67" s="39">
        <v>0.044</v>
      </c>
      <c r="M67" s="39">
        <v>0.07</v>
      </c>
      <c r="N67" s="36">
        <v>6.5</v>
      </c>
      <c r="O67" s="36">
        <v>3.7</v>
      </c>
      <c r="P67" s="36">
        <v>4.4</v>
      </c>
      <c r="Q67" s="36">
        <v>7.000000000000001</v>
      </c>
      <c r="R67" s="39">
        <v>0.03</v>
      </c>
    </row>
    <row r="68" spans="1:18" ht="12.75">
      <c r="A68" s="85" t="s">
        <v>530</v>
      </c>
      <c r="B68" s="86" t="s">
        <v>531</v>
      </c>
      <c r="C68" s="109" t="str">
        <f t="shared" si="1"/>
        <v>4 lat/a od dnia zakupu</v>
      </c>
      <c r="D68" s="109">
        <v>38412</v>
      </c>
      <c r="E68" s="109">
        <v>38442</v>
      </c>
      <c r="F68" s="110">
        <v>100</v>
      </c>
      <c r="G68" s="119"/>
      <c r="H68" s="101">
        <v>8.0907</v>
      </c>
      <c r="I68" s="101"/>
      <c r="J68" s="39">
        <v>0.057</v>
      </c>
      <c r="K68" s="39">
        <v>0.037</v>
      </c>
      <c r="L68" s="39">
        <v>0.047</v>
      </c>
      <c r="M68" s="39">
        <v>0.073</v>
      </c>
      <c r="N68" s="36">
        <v>5.7</v>
      </c>
      <c r="O68" s="36">
        <v>3.7</v>
      </c>
      <c r="P68" s="36">
        <v>4.7</v>
      </c>
      <c r="Q68" s="36">
        <v>7.3</v>
      </c>
      <c r="R68" s="39">
        <v>0.03</v>
      </c>
    </row>
    <row r="69" spans="1:18" ht="12.75">
      <c r="A69" s="85" t="s">
        <v>537</v>
      </c>
      <c r="B69" s="86" t="s">
        <v>538</v>
      </c>
      <c r="C69" s="109" t="str">
        <f t="shared" si="1"/>
        <v>4 lat/a od dnia zakupu</v>
      </c>
      <c r="D69" s="109">
        <v>38443</v>
      </c>
      <c r="E69" s="109">
        <v>38472</v>
      </c>
      <c r="F69" s="110">
        <v>100</v>
      </c>
      <c r="G69" s="119"/>
      <c r="H69" s="101">
        <v>6.1737</v>
      </c>
      <c r="I69" s="101"/>
      <c r="J69" s="39">
        <v>0.054</v>
      </c>
      <c r="K69" s="39">
        <v>0.037</v>
      </c>
      <c r="L69" s="39">
        <v>0.049</v>
      </c>
      <c r="M69" s="39">
        <v>0.07200000000000001</v>
      </c>
      <c r="N69" s="36">
        <v>5.4</v>
      </c>
      <c r="O69" s="36">
        <v>3.7</v>
      </c>
      <c r="P69" s="36">
        <v>4.9</v>
      </c>
      <c r="Q69" s="36">
        <v>7.200000000000001</v>
      </c>
      <c r="R69" s="39">
        <v>0.03</v>
      </c>
    </row>
    <row r="70" spans="1:18" ht="12.75">
      <c r="A70" s="85" t="s">
        <v>546</v>
      </c>
      <c r="B70" s="86" t="s">
        <v>547</v>
      </c>
      <c r="C70" s="109" t="str">
        <f t="shared" si="1"/>
        <v>4 lat/a od dnia zakupu</v>
      </c>
      <c r="D70" s="109">
        <v>38474</v>
      </c>
      <c r="E70" s="109">
        <v>38503</v>
      </c>
      <c r="F70" s="110">
        <v>100</v>
      </c>
      <c r="G70" s="119"/>
      <c r="H70" s="101">
        <v>10.8641</v>
      </c>
      <c r="I70" s="101"/>
      <c r="J70" s="39">
        <v>0.054</v>
      </c>
      <c r="K70" s="39">
        <v>0.034</v>
      </c>
      <c r="L70" s="39">
        <v>0.055</v>
      </c>
      <c r="M70" s="39">
        <v>0.071</v>
      </c>
      <c r="N70" s="36">
        <v>5.4</v>
      </c>
      <c r="O70" s="36">
        <v>3.4</v>
      </c>
      <c r="P70" s="36">
        <v>5.5</v>
      </c>
      <c r="Q70" s="36">
        <v>7.1</v>
      </c>
      <c r="R70" s="39">
        <v>0.03</v>
      </c>
    </row>
    <row r="71" spans="1:18" ht="12.75">
      <c r="A71" s="85" t="s">
        <v>551</v>
      </c>
      <c r="B71" s="86" t="s">
        <v>552</v>
      </c>
      <c r="C71" s="109" t="str">
        <f t="shared" si="1"/>
        <v>4 lat/a od dnia zakupu</v>
      </c>
      <c r="D71" s="109">
        <v>38504</v>
      </c>
      <c r="E71" s="87">
        <v>38533</v>
      </c>
      <c r="F71" s="110">
        <v>100</v>
      </c>
      <c r="G71" s="119"/>
      <c r="H71" s="101">
        <v>10.3171</v>
      </c>
      <c r="I71" s="101"/>
      <c r="J71" s="39">
        <v>0.052</v>
      </c>
      <c r="K71" s="39">
        <v>0.037</v>
      </c>
      <c r="L71" s="39">
        <v>0.053</v>
      </c>
      <c r="M71" s="39">
        <v>0.07</v>
      </c>
      <c r="N71" s="36">
        <v>5.2</v>
      </c>
      <c r="O71" s="36">
        <v>3.7</v>
      </c>
      <c r="P71" s="36">
        <v>5.3</v>
      </c>
      <c r="Q71" s="36">
        <v>7.000000000000001</v>
      </c>
      <c r="R71" s="39">
        <v>0.03</v>
      </c>
    </row>
    <row r="72" spans="1:18" ht="12.75">
      <c r="A72" s="85" t="s">
        <v>559</v>
      </c>
      <c r="B72" s="86" t="s">
        <v>560</v>
      </c>
      <c r="C72" s="87" t="str">
        <f t="shared" si="1"/>
        <v>4 lat/a od dnia zakupu</v>
      </c>
      <c r="D72" s="87">
        <v>38534</v>
      </c>
      <c r="E72" s="87">
        <v>38564</v>
      </c>
      <c r="F72" s="88">
        <v>100</v>
      </c>
      <c r="G72" s="120"/>
      <c r="H72" s="101">
        <v>3.9903</v>
      </c>
      <c r="I72" s="101"/>
      <c r="J72" s="39">
        <v>0.0475</v>
      </c>
      <c r="K72" s="39">
        <v>0.034</v>
      </c>
      <c r="L72" s="39">
        <v>0.048</v>
      </c>
      <c r="M72" s="39">
        <v>0.069</v>
      </c>
      <c r="N72" s="36">
        <v>4.75</v>
      </c>
      <c r="O72" s="36">
        <v>3.4</v>
      </c>
      <c r="P72" s="36">
        <v>4.8</v>
      </c>
      <c r="Q72" s="36">
        <v>6.9</v>
      </c>
      <c r="R72" s="39">
        <v>0.025</v>
      </c>
    </row>
    <row r="73" spans="1:18" ht="12.75">
      <c r="A73" s="85" t="s">
        <v>568</v>
      </c>
      <c r="B73" s="86" t="s">
        <v>569</v>
      </c>
      <c r="C73" s="87" t="str">
        <f t="shared" si="1"/>
        <v>4 lat/a od dnia zakupu</v>
      </c>
      <c r="D73" s="87">
        <v>38565</v>
      </c>
      <c r="E73" s="87">
        <v>38595</v>
      </c>
      <c r="F73" s="88">
        <v>100</v>
      </c>
      <c r="G73" s="120"/>
      <c r="H73" s="101">
        <v>7.4556</v>
      </c>
      <c r="I73" s="101"/>
      <c r="J73" s="39">
        <v>0.045</v>
      </c>
      <c r="K73" s="39">
        <v>0.033</v>
      </c>
      <c r="L73" s="39">
        <v>0.051</v>
      </c>
      <c r="M73" s="39">
        <v>0.07100000000000001</v>
      </c>
      <c r="N73" s="36">
        <v>4.5</v>
      </c>
      <c r="O73" s="36">
        <v>3.3</v>
      </c>
      <c r="P73" s="36">
        <v>5.1</v>
      </c>
      <c r="Q73" s="36">
        <v>7.1000000000000005</v>
      </c>
      <c r="R73" s="39">
        <v>0.025</v>
      </c>
    </row>
    <row r="74" spans="1:18" ht="12.75">
      <c r="A74" s="85" t="s">
        <v>573</v>
      </c>
      <c r="B74" s="86" t="s">
        <v>574</v>
      </c>
      <c r="C74" s="87" t="str">
        <f t="shared" si="1"/>
        <v>4 lat/a od dnia zakupu</v>
      </c>
      <c r="D74" s="87">
        <v>38596</v>
      </c>
      <c r="E74" s="87">
        <v>38625</v>
      </c>
      <c r="F74" s="88">
        <v>100</v>
      </c>
      <c r="G74" s="120"/>
      <c r="H74" s="101">
        <v>6.661</v>
      </c>
      <c r="I74" s="101"/>
      <c r="J74" s="39">
        <v>0.045</v>
      </c>
      <c r="K74" s="39">
        <v>0.036000000000000004</v>
      </c>
      <c r="L74" s="39">
        <v>0.048</v>
      </c>
      <c r="M74" s="39">
        <v>0.07300000000000001</v>
      </c>
      <c r="N74" s="36">
        <v>4.5</v>
      </c>
      <c r="O74" s="36">
        <v>3.6</v>
      </c>
      <c r="P74" s="36">
        <v>4.8</v>
      </c>
      <c r="Q74" s="36">
        <v>7.300000000000001</v>
      </c>
      <c r="R74" s="39">
        <v>0.025</v>
      </c>
    </row>
    <row r="75" spans="1:18" ht="12.75">
      <c r="A75" s="85" t="s">
        <v>582</v>
      </c>
      <c r="B75" s="86" t="s">
        <v>583</v>
      </c>
      <c r="C75" s="87" t="str">
        <f t="shared" si="1"/>
        <v>4 lat/a od dnia zakupu</v>
      </c>
      <c r="D75" s="87">
        <v>38626</v>
      </c>
      <c r="E75" s="87">
        <v>38656</v>
      </c>
      <c r="F75" s="88">
        <v>100</v>
      </c>
      <c r="G75" s="120"/>
      <c r="H75" s="101">
        <v>5.7084</v>
      </c>
      <c r="I75" s="101"/>
      <c r="J75" s="39">
        <v>0.0425</v>
      </c>
      <c r="K75" s="39">
        <v>0.0385</v>
      </c>
      <c r="L75" s="39">
        <v>0.0375</v>
      </c>
      <c r="M75" s="39">
        <v>0.07050000000000001</v>
      </c>
      <c r="N75" s="36">
        <v>4.25</v>
      </c>
      <c r="O75" s="36">
        <v>3.85</v>
      </c>
      <c r="P75" s="36">
        <v>3.75</v>
      </c>
      <c r="Q75" s="36">
        <v>7.050000000000001</v>
      </c>
      <c r="R75" s="39">
        <v>0.0225</v>
      </c>
    </row>
    <row r="76" spans="1:18" ht="12.75">
      <c r="A76" s="85" t="s">
        <v>591</v>
      </c>
      <c r="B76" s="86" t="s">
        <v>592</v>
      </c>
      <c r="C76" s="87" t="str">
        <f t="shared" si="1"/>
        <v>4 lat/a od dnia zakupu</v>
      </c>
      <c r="D76" s="87">
        <v>38658</v>
      </c>
      <c r="E76" s="87">
        <v>38686</v>
      </c>
      <c r="F76" s="88">
        <v>100</v>
      </c>
      <c r="G76" s="120"/>
      <c r="H76" s="101">
        <v>7.6488</v>
      </c>
      <c r="I76" s="101"/>
      <c r="J76" s="39">
        <v>0.0425</v>
      </c>
      <c r="K76" s="39">
        <v>0.0385</v>
      </c>
      <c r="L76" s="39">
        <v>0.0455</v>
      </c>
      <c r="M76" s="39">
        <v>0.0675</v>
      </c>
      <c r="N76" s="36">
        <v>4.25</v>
      </c>
      <c r="O76" s="36">
        <v>3.85</v>
      </c>
      <c r="P76" s="36">
        <v>4.55</v>
      </c>
      <c r="Q76" s="36">
        <v>6.75</v>
      </c>
      <c r="R76" s="39">
        <v>0.0225</v>
      </c>
    </row>
    <row r="77" spans="1:256" s="25" customFormat="1" ht="12.75">
      <c r="A77" s="90" t="s">
        <v>597</v>
      </c>
      <c r="B77" s="91" t="s">
        <v>598</v>
      </c>
      <c r="C77" s="111" t="str">
        <f t="shared" si="1"/>
        <v>4 lat/a od dnia zakupu</v>
      </c>
      <c r="D77" s="111">
        <v>38687</v>
      </c>
      <c r="E77" s="111">
        <v>38717</v>
      </c>
      <c r="F77" s="112">
        <v>100</v>
      </c>
      <c r="G77" s="121"/>
      <c r="H77" s="106">
        <v>12.8432</v>
      </c>
      <c r="I77" s="106"/>
      <c r="J77" s="41">
        <v>0.0475</v>
      </c>
      <c r="K77" s="41">
        <v>0.0345</v>
      </c>
      <c r="L77" s="41">
        <v>0.0525</v>
      </c>
      <c r="M77" s="41">
        <v>0.0645</v>
      </c>
      <c r="N77" s="38">
        <v>4.75</v>
      </c>
      <c r="O77" s="38">
        <v>3.45</v>
      </c>
      <c r="P77" s="38">
        <v>5.25</v>
      </c>
      <c r="Q77" s="38">
        <v>6.45</v>
      </c>
      <c r="R77" s="41">
        <v>0.0225</v>
      </c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3"/>
      <c r="IU77" s="13"/>
      <c r="IV77" s="13"/>
    </row>
    <row r="78" spans="1:18" ht="12.75">
      <c r="A78" s="113" t="s">
        <v>605</v>
      </c>
      <c r="B78" s="114" t="s">
        <v>606</v>
      </c>
      <c r="C78" s="115" t="str">
        <f t="shared" si="1"/>
        <v>4 lat/a od dnia zakupu</v>
      </c>
      <c r="D78" s="115">
        <v>38718</v>
      </c>
      <c r="E78" s="115">
        <v>38748</v>
      </c>
      <c r="F78" s="116">
        <v>100</v>
      </c>
      <c r="G78" s="117"/>
      <c r="H78" s="118">
        <v>12.4464</v>
      </c>
      <c r="I78" s="118"/>
      <c r="J78" s="40">
        <v>0.0475</v>
      </c>
      <c r="K78" s="40">
        <v>0.0365</v>
      </c>
      <c r="L78" s="40">
        <v>0.0585</v>
      </c>
      <c r="M78" s="40">
        <v>0.059500000000000004</v>
      </c>
      <c r="N78" s="37">
        <v>4.75</v>
      </c>
      <c r="O78" s="37">
        <v>3.65</v>
      </c>
      <c r="P78" s="37">
        <v>5.85</v>
      </c>
      <c r="Q78" s="37">
        <v>5.95</v>
      </c>
      <c r="R78" s="40">
        <v>0.0225</v>
      </c>
    </row>
    <row r="79" spans="1:18" ht="12.75">
      <c r="A79" s="85" t="s">
        <v>610</v>
      </c>
      <c r="B79" s="86" t="s">
        <v>614</v>
      </c>
      <c r="C79" s="109" t="str">
        <f t="shared" si="1"/>
        <v>4 lat/a od dnia zakupu</v>
      </c>
      <c r="D79" s="109">
        <v>38749</v>
      </c>
      <c r="E79" s="109">
        <v>38776</v>
      </c>
      <c r="F79" s="110">
        <v>100</v>
      </c>
      <c r="G79" s="119"/>
      <c r="H79" s="101">
        <v>21.7272</v>
      </c>
      <c r="I79" s="101"/>
      <c r="J79" s="39">
        <v>0.045</v>
      </c>
      <c r="K79" s="39">
        <v>0.0365</v>
      </c>
      <c r="L79" s="39">
        <v>0.0625</v>
      </c>
      <c r="M79" s="39">
        <v>0.0555</v>
      </c>
      <c r="N79" s="36">
        <v>4.5</v>
      </c>
      <c r="O79" s="36">
        <v>3.65</v>
      </c>
      <c r="P79" s="36">
        <v>6.25</v>
      </c>
      <c r="Q79" s="36">
        <v>5.55</v>
      </c>
      <c r="R79" s="39">
        <v>0.0225</v>
      </c>
    </row>
    <row r="80" spans="1:18" ht="12.75">
      <c r="A80" s="85" t="s">
        <v>619</v>
      </c>
      <c r="B80" s="86" t="s">
        <v>620</v>
      </c>
      <c r="C80" s="109" t="str">
        <f t="shared" si="1"/>
        <v>4 lat/a od dnia zakupu</v>
      </c>
      <c r="D80" s="109">
        <v>38777</v>
      </c>
      <c r="E80" s="109">
        <v>38807</v>
      </c>
      <c r="F80" s="110">
        <v>100</v>
      </c>
      <c r="G80" s="119"/>
      <c r="H80" s="101">
        <v>7.084</v>
      </c>
      <c r="I80" s="101"/>
      <c r="J80" s="39">
        <v>0.04</v>
      </c>
      <c r="K80" s="39">
        <v>0.037</v>
      </c>
      <c r="L80" s="39">
        <v>0.063</v>
      </c>
      <c r="M80" s="39">
        <v>0.051000000000000004</v>
      </c>
      <c r="N80" s="36">
        <v>4</v>
      </c>
      <c r="O80" s="36">
        <v>3.6999999999999997</v>
      </c>
      <c r="P80" s="36">
        <v>6.3</v>
      </c>
      <c r="Q80" s="36">
        <v>5.1000000000000005</v>
      </c>
      <c r="R80" s="39">
        <v>0.02</v>
      </c>
    </row>
    <row r="81" spans="1:18" ht="12.75">
      <c r="A81" s="85" t="s">
        <v>626</v>
      </c>
      <c r="B81" s="86" t="s">
        <v>627</v>
      </c>
      <c r="C81" s="109" t="str">
        <f t="shared" si="1"/>
        <v>4 lat/a od dnia zakupu</v>
      </c>
      <c r="D81" s="109">
        <v>38808</v>
      </c>
      <c r="E81" s="109">
        <v>38837</v>
      </c>
      <c r="F81" s="110">
        <v>100</v>
      </c>
      <c r="G81" s="119"/>
      <c r="H81" s="101">
        <v>5.8125</v>
      </c>
      <c r="I81" s="101"/>
      <c r="J81" s="39">
        <v>0.0425</v>
      </c>
      <c r="K81" s="39">
        <v>0.039</v>
      </c>
      <c r="L81" s="39">
        <v>0.062</v>
      </c>
      <c r="M81" s="39">
        <v>0.053000000000000005</v>
      </c>
      <c r="N81" s="36">
        <v>4.25</v>
      </c>
      <c r="O81" s="36">
        <v>3.9</v>
      </c>
      <c r="P81" s="36">
        <v>6.2</v>
      </c>
      <c r="Q81" s="36">
        <v>5.300000000000001</v>
      </c>
      <c r="R81" s="39">
        <v>0.02</v>
      </c>
    </row>
    <row r="82" spans="1:18" ht="12.75">
      <c r="A82" s="85" t="s">
        <v>632</v>
      </c>
      <c r="B82" s="86" t="s">
        <v>633</v>
      </c>
      <c r="C82" s="109" t="str">
        <f t="shared" si="1"/>
        <v>4 lat/a od dnia zakupu</v>
      </c>
      <c r="D82" s="109">
        <v>38838</v>
      </c>
      <c r="E82" s="109">
        <v>38868</v>
      </c>
      <c r="F82" s="110">
        <v>100</v>
      </c>
      <c r="G82" s="119"/>
      <c r="H82" s="101">
        <v>13.813</v>
      </c>
      <c r="I82" s="101"/>
      <c r="J82" s="39">
        <v>0.045</v>
      </c>
      <c r="K82" s="39">
        <v>0.045</v>
      </c>
      <c r="L82" s="39">
        <v>0.061</v>
      </c>
      <c r="M82" s="39">
        <v>0.05600000000000001</v>
      </c>
      <c r="N82" s="36">
        <v>4.5</v>
      </c>
      <c r="O82" s="36">
        <v>4.5</v>
      </c>
      <c r="P82" s="36">
        <v>6.1</v>
      </c>
      <c r="Q82" s="36">
        <v>5.6000000000000005</v>
      </c>
      <c r="R82" s="39">
        <v>0.02</v>
      </c>
    </row>
    <row r="83" spans="1:18" ht="12.75">
      <c r="A83" s="85" t="s">
        <v>641</v>
      </c>
      <c r="B83" s="86" t="s">
        <v>642</v>
      </c>
      <c r="C83" s="109" t="str">
        <f t="shared" si="1"/>
        <v>4 lat/a od dnia zakupu</v>
      </c>
      <c r="D83" s="109">
        <v>38869</v>
      </c>
      <c r="E83" s="87">
        <v>38898</v>
      </c>
      <c r="F83" s="110">
        <v>100</v>
      </c>
      <c r="G83" s="119"/>
      <c r="H83" s="101">
        <v>12.0342</v>
      </c>
      <c r="I83" s="101"/>
      <c r="J83" s="39">
        <v>0.0475</v>
      </c>
      <c r="K83" s="39">
        <v>0.043</v>
      </c>
      <c r="L83" s="39">
        <v>0.06</v>
      </c>
      <c r="M83" s="39">
        <v>0.06</v>
      </c>
      <c r="N83" s="36">
        <v>4.75</v>
      </c>
      <c r="O83" s="36">
        <v>4.3</v>
      </c>
      <c r="P83" s="36">
        <v>6</v>
      </c>
      <c r="Q83" s="36">
        <v>6</v>
      </c>
      <c r="R83" s="39">
        <v>0.02</v>
      </c>
    </row>
    <row r="84" spans="1:18" ht="12.75">
      <c r="A84" s="85" t="s">
        <v>647</v>
      </c>
      <c r="B84" s="86" t="s">
        <v>648</v>
      </c>
      <c r="C84" s="87" t="str">
        <f t="shared" si="1"/>
        <v>4 lat/a od dnia zakupu</v>
      </c>
      <c r="D84" s="87">
        <v>38899</v>
      </c>
      <c r="E84" s="87">
        <v>38929</v>
      </c>
      <c r="F84" s="88">
        <v>100</v>
      </c>
      <c r="G84" s="120"/>
      <c r="H84" s="101">
        <v>17.5141</v>
      </c>
      <c r="I84" s="101"/>
      <c r="J84" s="39">
        <v>0.05</v>
      </c>
      <c r="K84" s="39">
        <v>0.048</v>
      </c>
      <c r="L84" s="39">
        <v>0.069</v>
      </c>
      <c r="M84" s="39">
        <v>0.061000000000000006</v>
      </c>
      <c r="N84" s="36">
        <v>5</v>
      </c>
      <c r="O84" s="36">
        <v>4.8</v>
      </c>
      <c r="P84" s="36">
        <v>6.9</v>
      </c>
      <c r="Q84" s="36">
        <v>6.1000000000000005</v>
      </c>
      <c r="R84" s="39">
        <v>0.025</v>
      </c>
    </row>
    <row r="85" spans="1:18" ht="12.75">
      <c r="A85" s="85" t="s">
        <v>655</v>
      </c>
      <c r="B85" s="86" t="s">
        <v>656</v>
      </c>
      <c r="C85" s="87" t="str">
        <f t="shared" si="1"/>
        <v>4 lat/a od dnia zakupu</v>
      </c>
      <c r="D85" s="87">
        <v>38930</v>
      </c>
      <c r="E85" s="87">
        <v>38960</v>
      </c>
      <c r="F85" s="88">
        <v>100</v>
      </c>
      <c r="G85" s="120"/>
      <c r="H85" s="101">
        <v>21.6312</v>
      </c>
      <c r="I85" s="101"/>
      <c r="J85" s="39">
        <v>0.048</v>
      </c>
      <c r="K85" s="39">
        <v>0.051</v>
      </c>
      <c r="L85" s="39">
        <v>0.07100000000000001</v>
      </c>
      <c r="M85" s="39">
        <v>0.060000000000000005</v>
      </c>
      <c r="N85" s="36">
        <v>4.8</v>
      </c>
      <c r="O85" s="36">
        <v>5.1</v>
      </c>
      <c r="P85" s="36">
        <v>7.1000000000000005</v>
      </c>
      <c r="Q85" s="36">
        <v>6.000000000000001</v>
      </c>
      <c r="R85" s="39">
        <v>0.025</v>
      </c>
    </row>
    <row r="86" spans="1:18" ht="12.75">
      <c r="A86" s="85" t="s">
        <v>661</v>
      </c>
      <c r="B86" s="86" t="s">
        <v>662</v>
      </c>
      <c r="C86" s="87" t="str">
        <f t="shared" si="1"/>
        <v>4 lat/a od dnia zakupu</v>
      </c>
      <c r="D86" s="87">
        <v>38961</v>
      </c>
      <c r="E86" s="87">
        <v>38990</v>
      </c>
      <c r="F86" s="88">
        <v>100</v>
      </c>
      <c r="G86" s="120"/>
      <c r="H86" s="101">
        <v>18.5528</v>
      </c>
      <c r="I86" s="101"/>
      <c r="J86" s="39">
        <v>0.05</v>
      </c>
      <c r="K86" s="39">
        <v>0.048</v>
      </c>
      <c r="L86" s="39">
        <v>0.07300000000000001</v>
      </c>
      <c r="M86" s="39">
        <v>0.061000000000000006</v>
      </c>
      <c r="N86" s="36">
        <v>5</v>
      </c>
      <c r="O86" s="36">
        <v>4.8</v>
      </c>
      <c r="P86" s="36">
        <v>7.300000000000001</v>
      </c>
      <c r="Q86" s="36">
        <v>6.1000000000000005</v>
      </c>
      <c r="R86" s="39">
        <v>0.025</v>
      </c>
    </row>
    <row r="87" spans="1:18" ht="12.75">
      <c r="A87" s="85" t="s">
        <v>668</v>
      </c>
      <c r="B87" s="86" t="s">
        <v>669</v>
      </c>
      <c r="C87" s="87" t="str">
        <f t="shared" si="1"/>
        <v>4 lat/a od dnia zakupu</v>
      </c>
      <c r="D87" s="87">
        <v>38991</v>
      </c>
      <c r="E87" s="87">
        <v>39021</v>
      </c>
      <c r="F87" s="88">
        <v>100</v>
      </c>
      <c r="G87" s="120"/>
      <c r="H87" s="101">
        <v>20.7118</v>
      </c>
      <c r="I87" s="101"/>
      <c r="J87" s="39">
        <v>0.05</v>
      </c>
      <c r="K87" s="39">
        <v>0.04</v>
      </c>
      <c r="L87" s="39">
        <v>0.07300000000000001</v>
      </c>
      <c r="M87" s="39">
        <v>0.062000000000000006</v>
      </c>
      <c r="N87" s="36">
        <v>5</v>
      </c>
      <c r="O87" s="36">
        <v>4</v>
      </c>
      <c r="P87" s="36">
        <v>7.300000000000001</v>
      </c>
      <c r="Q87" s="36">
        <v>6.200000000000001</v>
      </c>
      <c r="R87" s="39">
        <v>0.025</v>
      </c>
    </row>
    <row r="88" spans="1:18" ht="12.75">
      <c r="A88" s="85" t="s">
        <v>670</v>
      </c>
      <c r="B88" s="86" t="s">
        <v>671</v>
      </c>
      <c r="C88" s="87" t="str">
        <f t="shared" si="1"/>
        <v>4 lat/a od dnia zakupu</v>
      </c>
      <c r="D88" s="87">
        <v>39022</v>
      </c>
      <c r="E88" s="87">
        <v>39051</v>
      </c>
      <c r="F88" s="88">
        <v>100</v>
      </c>
      <c r="G88" s="120"/>
      <c r="H88" s="101">
        <v>29.784</v>
      </c>
      <c r="I88" s="101"/>
      <c r="J88" s="39">
        <v>0.05</v>
      </c>
      <c r="K88" s="39">
        <v>0.048</v>
      </c>
      <c r="L88" s="39">
        <v>0.07</v>
      </c>
      <c r="M88" s="39">
        <v>0.059000000000000004</v>
      </c>
      <c r="N88" s="36">
        <v>5</v>
      </c>
      <c r="O88" s="36">
        <v>4.8</v>
      </c>
      <c r="P88" s="36">
        <v>7.000000000000001</v>
      </c>
      <c r="Q88" s="36">
        <v>5.9</v>
      </c>
      <c r="R88" s="39">
        <v>0.025</v>
      </c>
    </row>
    <row r="89" spans="1:256" s="25" customFormat="1" ht="12.75">
      <c r="A89" s="90" t="s">
        <v>679</v>
      </c>
      <c r="B89" s="91" t="s">
        <v>680</v>
      </c>
      <c r="C89" s="111" t="str">
        <f t="shared" si="1"/>
        <v>4 lat/a od dnia zakupu</v>
      </c>
      <c r="D89" s="111">
        <v>39052</v>
      </c>
      <c r="E89" s="111">
        <v>39082</v>
      </c>
      <c r="F89" s="112">
        <v>100</v>
      </c>
      <c r="G89" s="121"/>
      <c r="H89" s="106">
        <v>8.1305</v>
      </c>
      <c r="I89" s="106"/>
      <c r="J89" s="41">
        <v>0.045</v>
      </c>
      <c r="K89" s="41">
        <v>0.055</v>
      </c>
      <c r="L89" s="41">
        <v>0.067</v>
      </c>
      <c r="M89" s="41">
        <v>0.056</v>
      </c>
      <c r="N89" s="38">
        <v>4.5</v>
      </c>
      <c r="O89" s="38">
        <v>5.5</v>
      </c>
      <c r="P89" s="38">
        <v>6.7</v>
      </c>
      <c r="Q89" s="38">
        <v>5.6000000000000005</v>
      </c>
      <c r="R89" s="41">
        <v>0.025</v>
      </c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3"/>
      <c r="IU89" s="13"/>
      <c r="IV89" s="13"/>
    </row>
    <row r="90" spans="1:18" ht="12.75">
      <c r="A90" s="113" t="s">
        <v>687</v>
      </c>
      <c r="B90" s="114" t="s">
        <v>688</v>
      </c>
      <c r="C90" s="115" t="str">
        <f t="shared" si="1"/>
        <v>4 lat/a od dnia zakupu</v>
      </c>
      <c r="D90" s="115">
        <v>39083</v>
      </c>
      <c r="E90" s="115">
        <v>39113</v>
      </c>
      <c r="F90" s="116">
        <v>100</v>
      </c>
      <c r="G90" s="117"/>
      <c r="H90" s="118">
        <v>8.8299</v>
      </c>
      <c r="I90" s="118"/>
      <c r="J90" s="40">
        <v>0.045</v>
      </c>
      <c r="K90" s="40">
        <v>0.061000000000000006</v>
      </c>
      <c r="L90" s="40">
        <v>0.062000000000000006</v>
      </c>
      <c r="M90" s="40">
        <v>0.058</v>
      </c>
      <c r="N90" s="37">
        <v>4.5</v>
      </c>
      <c r="O90" s="37">
        <v>6.1</v>
      </c>
      <c r="P90" s="37">
        <v>6.200000000000001</v>
      </c>
      <c r="Q90" s="37">
        <v>5.800000000000001</v>
      </c>
      <c r="R90" s="40">
        <v>0.025</v>
      </c>
    </row>
    <row r="91" spans="1:18" ht="12.75">
      <c r="A91" s="85" t="s">
        <v>689</v>
      </c>
      <c r="B91" s="86" t="s">
        <v>690</v>
      </c>
      <c r="C91" s="109" t="str">
        <f t="shared" si="1"/>
        <v>4 lat/a od dnia zakupu</v>
      </c>
      <c r="D91" s="109">
        <v>39114</v>
      </c>
      <c r="E91" s="109">
        <v>39141</v>
      </c>
      <c r="F91" s="110">
        <v>100</v>
      </c>
      <c r="G91" s="119"/>
      <c r="H91" s="101">
        <v>5.6648</v>
      </c>
      <c r="I91" s="101"/>
      <c r="J91" s="39">
        <v>0.045</v>
      </c>
      <c r="K91" s="39">
        <v>0.06</v>
      </c>
      <c r="L91" s="39">
        <v>0.053000000000000005</v>
      </c>
      <c r="M91" s="39">
        <v>0.05500000000000001</v>
      </c>
      <c r="N91" s="36">
        <v>4.5</v>
      </c>
      <c r="O91" s="36">
        <v>6</v>
      </c>
      <c r="P91" s="36">
        <v>5.300000000000001</v>
      </c>
      <c r="Q91" s="36">
        <v>5.500000000000001</v>
      </c>
      <c r="R91" s="39">
        <v>0.02</v>
      </c>
    </row>
    <row r="92" spans="1:18" ht="12.75">
      <c r="A92" s="85" t="s">
        <v>700</v>
      </c>
      <c r="B92" s="86" t="s">
        <v>705</v>
      </c>
      <c r="C92" s="109" t="str">
        <f t="shared" si="1"/>
        <v>4 lat/a od dnia zakupu</v>
      </c>
      <c r="D92" s="109">
        <v>39142</v>
      </c>
      <c r="E92" s="109">
        <v>39172</v>
      </c>
      <c r="F92" s="110">
        <v>100</v>
      </c>
      <c r="G92" s="119"/>
      <c r="H92" s="101">
        <v>7.239</v>
      </c>
      <c r="I92" s="101"/>
      <c r="J92" s="39">
        <v>0.045</v>
      </c>
      <c r="K92" s="39">
        <v>0.063</v>
      </c>
      <c r="L92" s="39">
        <v>0.051000000000000004</v>
      </c>
      <c r="M92" s="39">
        <v>0.05600000000000001</v>
      </c>
      <c r="N92" s="36">
        <v>4.5</v>
      </c>
      <c r="O92" s="36">
        <v>6.3</v>
      </c>
      <c r="P92" s="36">
        <v>5.1000000000000005</v>
      </c>
      <c r="Q92" s="36">
        <v>5.6000000000000005</v>
      </c>
      <c r="R92" s="39">
        <v>0.02</v>
      </c>
    </row>
    <row r="93" spans="1:18" ht="12.75">
      <c r="A93" s="85" t="s">
        <v>706</v>
      </c>
      <c r="B93" s="86" t="s">
        <v>707</v>
      </c>
      <c r="C93" s="109" t="str">
        <f t="shared" si="1"/>
        <v>4 lat/a od dnia zakupu</v>
      </c>
      <c r="D93" s="109">
        <v>39173</v>
      </c>
      <c r="E93" s="109">
        <v>39202</v>
      </c>
      <c r="F93" s="110">
        <v>100</v>
      </c>
      <c r="G93" s="119"/>
      <c r="H93" s="101">
        <v>3.4091</v>
      </c>
      <c r="I93" s="101"/>
      <c r="J93" s="39">
        <v>0.045</v>
      </c>
      <c r="K93" s="39">
        <v>0.062</v>
      </c>
      <c r="L93" s="39">
        <v>0.053000000000000005</v>
      </c>
      <c r="M93" s="39">
        <v>0.049</v>
      </c>
      <c r="N93" s="36">
        <v>4.5</v>
      </c>
      <c r="O93" s="36">
        <v>6.2</v>
      </c>
      <c r="P93" s="36">
        <v>5.300000000000001</v>
      </c>
      <c r="Q93" s="36">
        <v>4.9</v>
      </c>
      <c r="R93" s="39">
        <v>0.02</v>
      </c>
    </row>
    <row r="94" spans="1:18" ht="12.75">
      <c r="A94" s="85" t="s">
        <v>715</v>
      </c>
      <c r="B94" s="86" t="s">
        <v>716</v>
      </c>
      <c r="C94" s="109" t="str">
        <f t="shared" si="1"/>
        <v>4 lat/a od dnia zakupu</v>
      </c>
      <c r="D94" s="109">
        <v>39203</v>
      </c>
      <c r="E94" s="109">
        <v>39233</v>
      </c>
      <c r="F94" s="110">
        <v>100</v>
      </c>
      <c r="G94" s="119"/>
      <c r="H94" s="101">
        <v>7.2455</v>
      </c>
      <c r="I94" s="101"/>
      <c r="J94" s="39">
        <v>0.045</v>
      </c>
      <c r="K94" s="39">
        <v>0.0635</v>
      </c>
      <c r="L94" s="39">
        <v>0.0585</v>
      </c>
      <c r="M94" s="39">
        <v>0.0485</v>
      </c>
      <c r="N94" s="36">
        <v>4.5</v>
      </c>
      <c r="O94" s="36">
        <v>6.35</v>
      </c>
      <c r="P94" s="36">
        <v>5.8500000000000005</v>
      </c>
      <c r="Q94" s="36">
        <v>4.8500000000000005</v>
      </c>
      <c r="R94" s="39">
        <v>0.0225</v>
      </c>
    </row>
    <row r="95" spans="1:18" ht="12.75">
      <c r="A95" s="85" t="s">
        <v>721</v>
      </c>
      <c r="B95" s="86" t="s">
        <v>722</v>
      </c>
      <c r="C95" s="109" t="str">
        <f t="shared" si="1"/>
        <v>4 lat/a od dnia zakupu</v>
      </c>
      <c r="D95" s="109">
        <v>39234</v>
      </c>
      <c r="E95" s="87">
        <v>39263</v>
      </c>
      <c r="F95" s="110">
        <v>100</v>
      </c>
      <c r="G95" s="119"/>
      <c r="H95" s="101">
        <v>4.882</v>
      </c>
      <c r="I95" s="101"/>
      <c r="J95" s="39">
        <v>0.045</v>
      </c>
      <c r="K95" s="39">
        <v>0.0625</v>
      </c>
      <c r="L95" s="39">
        <v>0.0625</v>
      </c>
      <c r="M95" s="39">
        <v>0.0465</v>
      </c>
      <c r="N95" s="36">
        <v>4.5</v>
      </c>
      <c r="O95" s="36">
        <v>6.25</v>
      </c>
      <c r="P95" s="36">
        <v>6.25</v>
      </c>
      <c r="Q95" s="36">
        <v>4.65</v>
      </c>
      <c r="R95" s="39">
        <v>0.0225</v>
      </c>
    </row>
    <row r="96" spans="1:18" ht="12.75">
      <c r="A96" s="85" t="s">
        <v>727</v>
      </c>
      <c r="B96" s="86" t="s">
        <v>728</v>
      </c>
      <c r="C96" s="87" t="str">
        <f t="shared" si="1"/>
        <v>4 lat/a od dnia zakupu</v>
      </c>
      <c r="D96" s="87">
        <v>39264</v>
      </c>
      <c r="E96" s="87">
        <v>39294</v>
      </c>
      <c r="F96" s="88">
        <v>100</v>
      </c>
      <c r="G96" s="120"/>
      <c r="H96" s="101">
        <v>9.1682</v>
      </c>
      <c r="I96" s="101"/>
      <c r="J96" s="39">
        <v>0.05</v>
      </c>
      <c r="K96" s="39">
        <v>0.069</v>
      </c>
      <c r="L96" s="39">
        <v>0.061000000000000006</v>
      </c>
      <c r="M96" s="39">
        <v>0.047</v>
      </c>
      <c r="N96" s="36">
        <v>5</v>
      </c>
      <c r="O96" s="36">
        <v>6.9</v>
      </c>
      <c r="P96" s="36">
        <v>6.1000000000000005</v>
      </c>
      <c r="Q96" s="36">
        <v>4.7</v>
      </c>
      <c r="R96" s="39">
        <v>0.025</v>
      </c>
    </row>
    <row r="97" spans="1:18" ht="12.75">
      <c r="A97" s="85" t="s">
        <v>737</v>
      </c>
      <c r="B97" s="86" t="s">
        <v>738</v>
      </c>
      <c r="C97" s="87" t="str">
        <f t="shared" si="1"/>
        <v>4 lat/a od dnia zakupu</v>
      </c>
      <c r="D97" s="87">
        <v>39295</v>
      </c>
      <c r="E97" s="87">
        <v>39325</v>
      </c>
      <c r="F97" s="88">
        <v>100</v>
      </c>
      <c r="G97" s="120">
        <v>99.9</v>
      </c>
      <c r="H97" s="101">
        <v>17.7621</v>
      </c>
      <c r="I97" s="101">
        <v>4.4195</v>
      </c>
      <c r="J97" s="39">
        <v>0.05</v>
      </c>
      <c r="K97" s="39">
        <v>0.07100000000000001</v>
      </c>
      <c r="L97" s="39">
        <v>0.060000000000000005</v>
      </c>
      <c r="M97" s="39">
        <v>0.048</v>
      </c>
      <c r="N97" s="36">
        <v>5</v>
      </c>
      <c r="O97" s="36">
        <v>7.1000000000000005</v>
      </c>
      <c r="P97" s="36">
        <v>6.000000000000001</v>
      </c>
      <c r="Q97" s="36">
        <v>4.8</v>
      </c>
      <c r="R97" s="39">
        <v>0.025</v>
      </c>
    </row>
    <row r="98" spans="1:18" ht="12.75">
      <c r="A98" s="85" t="s">
        <v>743</v>
      </c>
      <c r="B98" s="86" t="s">
        <v>744</v>
      </c>
      <c r="C98" s="87" t="str">
        <f aca="true" t="shared" si="2" ref="C98:C108">"4"&amp;WykupCOI</f>
        <v>4 lat/a od dnia zakupu</v>
      </c>
      <c r="D98" s="87">
        <v>39326</v>
      </c>
      <c r="E98" s="87">
        <v>39355</v>
      </c>
      <c r="F98" s="88">
        <v>100</v>
      </c>
      <c r="G98" s="120">
        <v>99.9</v>
      </c>
      <c r="H98" s="101">
        <v>13.4634</v>
      </c>
      <c r="I98" s="101">
        <v>1.3023</v>
      </c>
      <c r="J98" s="39">
        <v>0.055</v>
      </c>
      <c r="K98" s="39">
        <v>0.07300000000000001</v>
      </c>
      <c r="L98" s="39">
        <v>0.061000000000000006</v>
      </c>
      <c r="M98" s="39">
        <v>0.045</v>
      </c>
      <c r="N98" s="36">
        <v>5.5</v>
      </c>
      <c r="O98" s="36">
        <v>7.300000000000001</v>
      </c>
      <c r="P98" s="36">
        <v>6.1000000000000005</v>
      </c>
      <c r="Q98" s="36">
        <v>4.5</v>
      </c>
      <c r="R98" s="39">
        <v>0.025</v>
      </c>
    </row>
    <row r="99" spans="1:18" ht="12.75">
      <c r="A99" s="85" t="s">
        <v>748</v>
      </c>
      <c r="B99" s="86" t="s">
        <v>749</v>
      </c>
      <c r="C99" s="87" t="str">
        <f t="shared" si="2"/>
        <v>4 lat/a od dnia zakupu</v>
      </c>
      <c r="D99" s="87">
        <v>39356</v>
      </c>
      <c r="E99" s="87">
        <v>39386</v>
      </c>
      <c r="F99" s="88">
        <v>100</v>
      </c>
      <c r="G99" s="120">
        <v>99.9</v>
      </c>
      <c r="H99" s="101">
        <v>10.8724</v>
      </c>
      <c r="I99" s="101">
        <v>0.796</v>
      </c>
      <c r="J99" s="39">
        <v>0.055</v>
      </c>
      <c r="K99" s="39">
        <v>0.07300000000000001</v>
      </c>
      <c r="L99" s="39">
        <v>0.062000000000000006</v>
      </c>
      <c r="M99" s="39">
        <v>0.045</v>
      </c>
      <c r="N99" s="36">
        <v>5.5</v>
      </c>
      <c r="O99" s="36">
        <v>7.300000000000001</v>
      </c>
      <c r="P99" s="36">
        <v>6.200000000000001</v>
      </c>
      <c r="Q99" s="36">
        <v>4.5</v>
      </c>
      <c r="R99" s="39">
        <v>0.025</v>
      </c>
    </row>
    <row r="100" spans="1:18" ht="12.75">
      <c r="A100" s="85" t="s">
        <v>756</v>
      </c>
      <c r="B100" s="86" t="s">
        <v>757</v>
      </c>
      <c r="C100" s="87" t="str">
        <f t="shared" si="2"/>
        <v>4 lat/a od dnia zakupu</v>
      </c>
      <c r="D100" s="87">
        <v>39387</v>
      </c>
      <c r="E100" s="87">
        <v>39416</v>
      </c>
      <c r="F100" s="88">
        <v>100</v>
      </c>
      <c r="G100" s="120">
        <v>99.9</v>
      </c>
      <c r="H100" s="101">
        <v>16.7697</v>
      </c>
      <c r="I100" s="101">
        <v>1.1057</v>
      </c>
      <c r="J100" s="39">
        <v>0.055</v>
      </c>
      <c r="K100" s="39">
        <v>0.07</v>
      </c>
      <c r="L100" s="39">
        <v>0.059000000000000004</v>
      </c>
      <c r="M100" s="39">
        <v>0.05</v>
      </c>
      <c r="N100" s="36">
        <v>5.5</v>
      </c>
      <c r="O100" s="36">
        <v>7.000000000000001</v>
      </c>
      <c r="P100" s="36">
        <v>5.9</v>
      </c>
      <c r="Q100" s="36">
        <v>5</v>
      </c>
      <c r="R100" s="39">
        <v>0.025</v>
      </c>
    </row>
    <row r="101" spans="1:256" s="25" customFormat="1" ht="12.75">
      <c r="A101" s="90" t="s">
        <v>762</v>
      </c>
      <c r="B101" s="91" t="s">
        <v>763</v>
      </c>
      <c r="C101" s="111" t="str">
        <f t="shared" si="2"/>
        <v>4 lat/a od dnia zakupu</v>
      </c>
      <c r="D101" s="111">
        <v>39417</v>
      </c>
      <c r="E101" s="111">
        <v>39447</v>
      </c>
      <c r="F101" s="112">
        <v>100</v>
      </c>
      <c r="G101" s="121">
        <v>99.9</v>
      </c>
      <c r="H101" s="106">
        <v>36.9642</v>
      </c>
      <c r="I101" s="106">
        <v>1.8201</v>
      </c>
      <c r="J101" s="41">
        <v>0.06</v>
      </c>
      <c r="K101" s="41">
        <v>0.067</v>
      </c>
      <c r="L101" s="41">
        <v>0.056</v>
      </c>
      <c r="M101" s="41">
        <v>0.053</v>
      </c>
      <c r="N101" s="38">
        <v>6</v>
      </c>
      <c r="O101" s="38">
        <v>6.7</v>
      </c>
      <c r="P101" s="38">
        <v>5.6000000000000005</v>
      </c>
      <c r="Q101" s="38">
        <v>5.3</v>
      </c>
      <c r="R101" s="41">
        <v>0.025</v>
      </c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3"/>
      <c r="IU101" s="13"/>
      <c r="IV101" s="13"/>
    </row>
    <row r="102" spans="1:18" ht="12.75">
      <c r="A102" s="113" t="s">
        <v>768</v>
      </c>
      <c r="B102" s="114" t="s">
        <v>769</v>
      </c>
      <c r="C102" s="115" t="str">
        <f t="shared" si="2"/>
        <v>4 lat/a od dnia zakupu</v>
      </c>
      <c r="D102" s="115">
        <v>39448</v>
      </c>
      <c r="E102" s="115">
        <v>39478</v>
      </c>
      <c r="F102" s="116">
        <v>100</v>
      </c>
      <c r="G102" s="117">
        <v>99.9</v>
      </c>
      <c r="H102" s="118">
        <v>97.9732</v>
      </c>
      <c r="I102" s="118">
        <v>1.1132</v>
      </c>
      <c r="J102" s="40">
        <v>0.0625</v>
      </c>
      <c r="K102" s="40">
        <v>0.062000000000000006</v>
      </c>
      <c r="L102" s="40">
        <v>0.058</v>
      </c>
      <c r="M102" s="40">
        <v>0.052000000000000005</v>
      </c>
      <c r="N102" s="37">
        <v>6.25</v>
      </c>
      <c r="O102" s="37">
        <v>6.200000000000001</v>
      </c>
      <c r="P102" s="37">
        <v>5.800000000000001</v>
      </c>
      <c r="Q102" s="37">
        <v>5.2</v>
      </c>
      <c r="R102" s="40">
        <v>0.025</v>
      </c>
    </row>
    <row r="103" spans="1:18" ht="12.75">
      <c r="A103" s="85" t="s">
        <v>776</v>
      </c>
      <c r="B103" s="86" t="s">
        <v>777</v>
      </c>
      <c r="C103" s="109" t="str">
        <f t="shared" si="2"/>
        <v>4 lat/a od dnia zakupu</v>
      </c>
      <c r="D103" s="109">
        <v>39479</v>
      </c>
      <c r="E103" s="109">
        <v>39506</v>
      </c>
      <c r="F103" s="110">
        <v>100</v>
      </c>
      <c r="G103" s="119">
        <v>99.9</v>
      </c>
      <c r="H103" s="101">
        <v>35.2545</v>
      </c>
      <c r="I103" s="101">
        <v>2.6304</v>
      </c>
      <c r="J103" s="39">
        <v>0.06</v>
      </c>
      <c r="K103" s="39">
        <v>0.058</v>
      </c>
      <c r="L103" s="39">
        <v>0.060000000000000005</v>
      </c>
      <c r="M103" s="39">
        <v>0.056</v>
      </c>
      <c r="N103" s="36">
        <v>6</v>
      </c>
      <c r="O103" s="36">
        <v>5.800000000000001</v>
      </c>
      <c r="P103" s="36">
        <v>6.000000000000001</v>
      </c>
      <c r="Q103" s="36">
        <v>5.6000000000000005</v>
      </c>
      <c r="R103" s="39">
        <v>0.025</v>
      </c>
    </row>
    <row r="104" spans="1:18" ht="12.75">
      <c r="A104" s="85" t="s">
        <v>782</v>
      </c>
      <c r="B104" s="86" t="s">
        <v>783</v>
      </c>
      <c r="C104" s="109" t="str">
        <f t="shared" si="2"/>
        <v>4 lat/a od dnia zakupu</v>
      </c>
      <c r="D104" s="109">
        <v>39508</v>
      </c>
      <c r="E104" s="109">
        <v>39538</v>
      </c>
      <c r="F104" s="110">
        <v>100</v>
      </c>
      <c r="G104" s="119">
        <v>99.9</v>
      </c>
      <c r="H104" s="101">
        <v>37.9628</v>
      </c>
      <c r="I104" s="101">
        <v>3.1003</v>
      </c>
      <c r="J104" s="39">
        <v>0.0625</v>
      </c>
      <c r="K104" s="39">
        <v>0.056</v>
      </c>
      <c r="L104" s="39">
        <v>0.061000000000000006</v>
      </c>
      <c r="M104" s="39">
        <v>0.063</v>
      </c>
      <c r="N104" s="36">
        <v>6.25</v>
      </c>
      <c r="O104" s="36">
        <v>5.6000000000000005</v>
      </c>
      <c r="P104" s="36">
        <v>6.1000000000000005</v>
      </c>
      <c r="Q104" s="36">
        <v>6.3</v>
      </c>
      <c r="R104" s="39">
        <v>0.025</v>
      </c>
    </row>
    <row r="105" spans="1:18" ht="12.75">
      <c r="A105" s="85" t="s">
        <v>788</v>
      </c>
      <c r="B105" s="86" t="s">
        <v>787</v>
      </c>
      <c r="C105" s="109" t="str">
        <f t="shared" si="2"/>
        <v>4 lat/a od dnia zakupu</v>
      </c>
      <c r="D105" s="109">
        <v>39539</v>
      </c>
      <c r="E105" s="109">
        <v>39568</v>
      </c>
      <c r="F105" s="110">
        <v>100</v>
      </c>
      <c r="G105" s="119">
        <v>99.9</v>
      </c>
      <c r="H105" s="101">
        <v>68.7941</v>
      </c>
      <c r="I105" s="101">
        <v>1.5211</v>
      </c>
      <c r="J105" s="39">
        <v>0.065</v>
      </c>
      <c r="K105" s="39">
        <v>0.058</v>
      </c>
      <c r="L105" s="39">
        <v>0.054</v>
      </c>
      <c r="M105" s="39">
        <v>0.061000000000000006</v>
      </c>
      <c r="N105" s="36">
        <v>6.5</v>
      </c>
      <c r="O105" s="36">
        <v>5.800000000000001</v>
      </c>
      <c r="P105" s="36">
        <v>5.4</v>
      </c>
      <c r="Q105" s="36">
        <v>6.1000000000000005</v>
      </c>
      <c r="R105" s="39">
        <v>0.025</v>
      </c>
    </row>
    <row r="106" spans="1:18" ht="12.75">
      <c r="A106" s="85" t="s">
        <v>791</v>
      </c>
      <c r="B106" s="86" t="s">
        <v>792</v>
      </c>
      <c r="C106" s="109" t="str">
        <f t="shared" si="2"/>
        <v>4 lat/a od dnia zakupu</v>
      </c>
      <c r="D106" s="109">
        <v>39569</v>
      </c>
      <c r="E106" s="109">
        <v>39599</v>
      </c>
      <c r="F106" s="110">
        <v>100</v>
      </c>
      <c r="G106" s="119">
        <v>99.9</v>
      </c>
      <c r="H106" s="101">
        <v>32.1679</v>
      </c>
      <c r="I106" s="101">
        <v>3.4273</v>
      </c>
      <c r="J106" s="39">
        <v>0.065</v>
      </c>
      <c r="K106" s="39">
        <v>0.061000000000000006</v>
      </c>
      <c r="L106" s="39">
        <v>0.051000000000000004</v>
      </c>
      <c r="M106" s="39">
        <v>0.068</v>
      </c>
      <c r="N106" s="36">
        <v>6.5</v>
      </c>
      <c r="O106" s="36">
        <v>6.1000000000000005</v>
      </c>
      <c r="P106" s="36">
        <v>5.1000000000000005</v>
      </c>
      <c r="Q106" s="36">
        <v>6.800000000000001</v>
      </c>
      <c r="R106" s="39">
        <v>0.025</v>
      </c>
    </row>
    <row r="107" spans="1:18" ht="12.75">
      <c r="A107" s="85" t="s">
        <v>799</v>
      </c>
      <c r="B107" s="86" t="s">
        <v>800</v>
      </c>
      <c r="C107" s="109" t="str">
        <f t="shared" si="2"/>
        <v>4 lat/a od dnia zakupu</v>
      </c>
      <c r="D107" s="109">
        <v>39600</v>
      </c>
      <c r="E107" s="87">
        <v>39629</v>
      </c>
      <c r="F107" s="110">
        <v>100</v>
      </c>
      <c r="G107" s="119">
        <v>99.9</v>
      </c>
      <c r="H107" s="101">
        <v>37.9636</v>
      </c>
      <c r="I107" s="101">
        <v>5.5037</v>
      </c>
      <c r="J107" s="39">
        <v>0.0675</v>
      </c>
      <c r="K107" s="39">
        <v>0.065</v>
      </c>
      <c r="L107" s="39">
        <v>0.049</v>
      </c>
      <c r="M107" s="39">
        <v>0.07</v>
      </c>
      <c r="N107" s="36">
        <v>6.75</v>
      </c>
      <c r="O107" s="36">
        <v>6.5</v>
      </c>
      <c r="P107" s="36">
        <v>4.9</v>
      </c>
      <c r="Q107" s="36">
        <v>7.000000000000001</v>
      </c>
      <c r="R107" s="39">
        <v>0.025</v>
      </c>
    </row>
    <row r="108" spans="1:18" ht="12.75">
      <c r="A108" s="85" t="s">
        <v>806</v>
      </c>
      <c r="B108" s="86" t="s">
        <v>807</v>
      </c>
      <c r="C108" s="87" t="str">
        <f t="shared" si="2"/>
        <v>4 lat/a od dnia zakupu</v>
      </c>
      <c r="D108" s="87">
        <v>39630</v>
      </c>
      <c r="E108" s="87">
        <v>39660</v>
      </c>
      <c r="F108" s="88">
        <v>100</v>
      </c>
      <c r="G108" s="120">
        <v>99.9</v>
      </c>
      <c r="H108" s="101">
        <v>88.4118</v>
      </c>
      <c r="I108" s="101">
        <v>10.9405</v>
      </c>
      <c r="J108" s="39">
        <v>0.07</v>
      </c>
      <c r="K108" s="39">
        <v>0.061000000000000006</v>
      </c>
      <c r="L108" s="39">
        <v>0.047</v>
      </c>
      <c r="M108" s="39">
        <v>0.07500000000000001</v>
      </c>
      <c r="N108" s="36">
        <v>7</v>
      </c>
      <c r="O108" s="36">
        <v>6.1000000000000005</v>
      </c>
      <c r="P108" s="36">
        <v>4.7</v>
      </c>
      <c r="Q108" s="36">
        <v>7.500000000000001</v>
      </c>
      <c r="R108" s="39">
        <v>0.025</v>
      </c>
    </row>
    <row r="109" spans="1:18" ht="12.75">
      <c r="A109" s="85" t="s">
        <v>812</v>
      </c>
      <c r="B109" s="86" t="s">
        <v>813</v>
      </c>
      <c r="C109" s="87" t="str">
        <f>"4"&amp;WykupCOI</f>
        <v>4 lat/a od dnia zakupu</v>
      </c>
      <c r="D109" s="87">
        <v>39661</v>
      </c>
      <c r="E109" s="87">
        <v>39691</v>
      </c>
      <c r="F109" s="88">
        <v>100</v>
      </c>
      <c r="G109" s="120">
        <v>99.9</v>
      </c>
      <c r="H109" s="101">
        <v>76.7022</v>
      </c>
      <c r="I109" s="101">
        <v>8.3577</v>
      </c>
      <c r="J109" s="39">
        <v>0.07</v>
      </c>
      <c r="K109" s="39">
        <v>0.060000000000000005</v>
      </c>
      <c r="L109" s="39">
        <v>0.048</v>
      </c>
      <c r="M109" s="39">
        <v>0.067</v>
      </c>
      <c r="N109" s="36">
        <v>7</v>
      </c>
      <c r="O109" s="36">
        <v>6.000000000000001</v>
      </c>
      <c r="P109" s="36">
        <v>4.8</v>
      </c>
      <c r="Q109" s="36">
        <v>6.7</v>
      </c>
      <c r="R109" s="39">
        <v>0.025</v>
      </c>
    </row>
    <row r="110" spans="1:18" ht="12.75">
      <c r="A110" s="85" t="s">
        <v>822</v>
      </c>
      <c r="B110" s="86" t="s">
        <v>823</v>
      </c>
      <c r="C110" s="87" t="str">
        <f>"4"&amp;WykupCOI</f>
        <v>4 lat/a od dnia zakupu</v>
      </c>
      <c r="D110" s="87">
        <v>39692</v>
      </c>
      <c r="E110" s="87">
        <v>39721</v>
      </c>
      <c r="F110" s="88">
        <v>100</v>
      </c>
      <c r="G110" s="120">
        <v>99.9</v>
      </c>
      <c r="H110" s="101">
        <v>79.2403</v>
      </c>
      <c r="I110" s="101">
        <v>4.3415</v>
      </c>
      <c r="J110" s="39">
        <v>0.07</v>
      </c>
      <c r="K110" s="39">
        <v>0.061000000000000006</v>
      </c>
      <c r="L110" s="39">
        <v>0.045</v>
      </c>
      <c r="M110" s="39">
        <v>0.066</v>
      </c>
      <c r="N110" s="36">
        <v>7</v>
      </c>
      <c r="O110" s="36">
        <v>6.1000000000000005</v>
      </c>
      <c r="P110" s="36">
        <v>4.5</v>
      </c>
      <c r="Q110" s="36">
        <v>6.6000000000000005</v>
      </c>
      <c r="R110" s="39">
        <v>0.025</v>
      </c>
    </row>
    <row r="111" spans="1:18" ht="12.75">
      <c r="A111" s="85" t="s">
        <v>824</v>
      </c>
      <c r="B111" s="86" t="s">
        <v>825</v>
      </c>
      <c r="C111" s="87" t="str">
        <f>"4"&amp;WykupCOI</f>
        <v>4 lat/a od dnia zakupu</v>
      </c>
      <c r="D111" s="87">
        <v>39722</v>
      </c>
      <c r="E111" s="87">
        <v>39752</v>
      </c>
      <c r="F111" s="88">
        <v>100</v>
      </c>
      <c r="G111" s="120">
        <v>99.9</v>
      </c>
      <c r="H111" s="101">
        <v>123.7389</v>
      </c>
      <c r="I111" s="101">
        <v>3.0928</v>
      </c>
      <c r="J111" s="39">
        <v>0.063</v>
      </c>
      <c r="K111" s="39">
        <v>0.062000000000000006</v>
      </c>
      <c r="L111" s="39">
        <v>0.045</v>
      </c>
      <c r="M111" s="39">
        <v>0.068</v>
      </c>
      <c r="N111" s="36">
        <v>6.3</v>
      </c>
      <c r="O111" s="36">
        <v>6.200000000000001</v>
      </c>
      <c r="P111" s="36">
        <v>4.5</v>
      </c>
      <c r="Q111" s="36">
        <v>6.800000000000001</v>
      </c>
      <c r="R111" s="39">
        <v>0.025</v>
      </c>
    </row>
    <row r="112" spans="1:18" ht="12.75">
      <c r="A112" s="85" t="s">
        <v>832</v>
      </c>
      <c r="B112" s="86" t="s">
        <v>833</v>
      </c>
      <c r="C112" s="87" t="str">
        <f>"4"&amp;WykupCOI</f>
        <v>4 lat/a od dnia zakupu</v>
      </c>
      <c r="D112" s="87">
        <v>39753</v>
      </c>
      <c r="E112" s="87">
        <v>39782</v>
      </c>
      <c r="F112" s="88">
        <v>100</v>
      </c>
      <c r="G112" s="120">
        <v>99.9</v>
      </c>
      <c r="H112" s="101">
        <v>62.6826</v>
      </c>
      <c r="I112" s="101">
        <v>6.5101</v>
      </c>
      <c r="J112" s="39">
        <v>0.07</v>
      </c>
      <c r="K112" s="39">
        <v>0.059000000000000004</v>
      </c>
      <c r="L112" s="39">
        <v>0.05</v>
      </c>
      <c r="M112" s="39">
        <v>0.064</v>
      </c>
      <c r="N112" s="36">
        <v>7</v>
      </c>
      <c r="O112" s="36">
        <v>5.9</v>
      </c>
      <c r="P112" s="36">
        <v>5</v>
      </c>
      <c r="Q112" s="36">
        <v>6.4</v>
      </c>
      <c r="R112" s="39">
        <v>0.025</v>
      </c>
    </row>
    <row r="113" spans="1:256" s="25" customFormat="1" ht="12.75">
      <c r="A113" s="90" t="s">
        <v>842</v>
      </c>
      <c r="B113" s="91" t="s">
        <v>843</v>
      </c>
      <c r="C113" s="111" t="str">
        <f aca="true" t="shared" si="3" ref="C113:C240">"4"&amp;WykupCOI</f>
        <v>4 lat/a od dnia zakupu</v>
      </c>
      <c r="D113" s="111">
        <v>39783</v>
      </c>
      <c r="E113" s="111">
        <v>39813</v>
      </c>
      <c r="F113" s="112">
        <v>100</v>
      </c>
      <c r="G113" s="121">
        <v>99.9</v>
      </c>
      <c r="H113" s="106">
        <v>50.3967</v>
      </c>
      <c r="I113" s="106">
        <v>5.7597</v>
      </c>
      <c r="J113" s="41">
        <v>0.07</v>
      </c>
      <c r="K113" s="41">
        <v>0.056</v>
      </c>
      <c r="L113" s="41">
        <v>0.053</v>
      </c>
      <c r="M113" s="41">
        <v>0.068</v>
      </c>
      <c r="N113" s="38">
        <v>7</v>
      </c>
      <c r="O113" s="38">
        <v>5.6000000000000005</v>
      </c>
      <c r="P113" s="38">
        <v>5.3</v>
      </c>
      <c r="Q113" s="38">
        <v>6.800000000000001</v>
      </c>
      <c r="R113" s="41">
        <v>0.025</v>
      </c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3"/>
      <c r="IU113" s="13"/>
      <c r="IV113" s="13"/>
    </row>
    <row r="114" spans="1:18" ht="12.75">
      <c r="A114" s="113" t="s">
        <v>844</v>
      </c>
      <c r="B114" s="114" t="s">
        <v>845</v>
      </c>
      <c r="C114" s="115" t="str">
        <f t="shared" si="3"/>
        <v>4 lat/a od dnia zakupu</v>
      </c>
      <c r="D114" s="115">
        <v>39814</v>
      </c>
      <c r="E114" s="115">
        <v>39844</v>
      </c>
      <c r="F114" s="116">
        <v>100</v>
      </c>
      <c r="G114" s="117">
        <v>99.9</v>
      </c>
      <c r="H114" s="118">
        <v>23.6644</v>
      </c>
      <c r="I114" s="118">
        <v>2.5917</v>
      </c>
      <c r="J114" s="40">
        <v>0.065</v>
      </c>
      <c r="K114" s="40">
        <v>0.058</v>
      </c>
      <c r="L114" s="40">
        <v>0.052000000000000005</v>
      </c>
      <c r="M114" s="40">
        <v>0.07300000000000001</v>
      </c>
      <c r="N114" s="37">
        <v>6.5</v>
      </c>
      <c r="O114" s="37">
        <v>5.800000000000001</v>
      </c>
      <c r="P114" s="37">
        <v>5.2</v>
      </c>
      <c r="Q114" s="37">
        <v>7.300000000000001</v>
      </c>
      <c r="R114" s="40">
        <v>0.025</v>
      </c>
    </row>
    <row r="115" spans="1:18" ht="12.75">
      <c r="A115" s="85" t="s">
        <v>852</v>
      </c>
      <c r="B115" s="86" t="s">
        <v>853</v>
      </c>
      <c r="C115" s="109" t="str">
        <f t="shared" si="3"/>
        <v>4 lat/a od dnia zakupu</v>
      </c>
      <c r="D115" s="109">
        <v>39845</v>
      </c>
      <c r="E115" s="109">
        <v>39872</v>
      </c>
      <c r="F115" s="110">
        <v>100</v>
      </c>
      <c r="G115" s="119">
        <v>99.9</v>
      </c>
      <c r="H115" s="101">
        <v>24.7615</v>
      </c>
      <c r="I115" s="101">
        <v>4.3735</v>
      </c>
      <c r="J115" s="39">
        <v>0.06</v>
      </c>
      <c r="K115" s="39">
        <v>0.060000000000000005</v>
      </c>
      <c r="L115" s="39">
        <v>0.056</v>
      </c>
      <c r="M115" s="39">
        <v>0.07100000000000001</v>
      </c>
      <c r="N115" s="36">
        <v>6</v>
      </c>
      <c r="O115" s="36">
        <v>6.000000000000001</v>
      </c>
      <c r="P115" s="36">
        <v>5.6000000000000005</v>
      </c>
      <c r="Q115" s="36">
        <v>7.1000000000000005</v>
      </c>
      <c r="R115" s="39">
        <v>0.025</v>
      </c>
    </row>
    <row r="116" spans="1:18" ht="12.75">
      <c r="A116" s="85" t="s">
        <v>860</v>
      </c>
      <c r="B116" s="86" t="s">
        <v>861</v>
      </c>
      <c r="C116" s="109" t="str">
        <f t="shared" si="3"/>
        <v>4 lat/a od dnia zakupu</v>
      </c>
      <c r="D116" s="109">
        <v>39873</v>
      </c>
      <c r="E116" s="109">
        <v>39903</v>
      </c>
      <c r="F116" s="110">
        <v>100</v>
      </c>
      <c r="G116" s="119">
        <v>99.9</v>
      </c>
      <c r="H116" s="101">
        <v>66.9135</v>
      </c>
      <c r="I116" s="101">
        <v>2.2456</v>
      </c>
      <c r="J116" s="39">
        <v>0.065</v>
      </c>
      <c r="K116" s="39">
        <v>0.061000000000000006</v>
      </c>
      <c r="L116" s="39">
        <v>0.063</v>
      </c>
      <c r="M116" s="39">
        <v>0.066</v>
      </c>
      <c r="N116" s="36">
        <v>6.5</v>
      </c>
      <c r="O116" s="36">
        <v>6.1000000000000005</v>
      </c>
      <c r="P116" s="36">
        <v>6.3</v>
      </c>
      <c r="Q116" s="36">
        <v>6.6000000000000005</v>
      </c>
      <c r="R116" s="39">
        <v>0.025</v>
      </c>
    </row>
    <row r="117" spans="1:18" ht="12.75">
      <c r="A117" s="85" t="s">
        <v>1398</v>
      </c>
      <c r="B117" s="86" t="s">
        <v>866</v>
      </c>
      <c r="C117" s="109" t="str">
        <f t="shared" si="3"/>
        <v>4 lat/a od dnia zakupu</v>
      </c>
      <c r="D117" s="109">
        <v>39904</v>
      </c>
      <c r="E117" s="109">
        <v>39933</v>
      </c>
      <c r="F117" s="110">
        <v>100</v>
      </c>
      <c r="G117" s="119">
        <v>99.9</v>
      </c>
      <c r="H117" s="101">
        <v>46.1745</v>
      </c>
      <c r="I117" s="101">
        <v>1.59</v>
      </c>
      <c r="J117" s="39">
        <v>0.065</v>
      </c>
      <c r="K117" s="39">
        <v>0.054</v>
      </c>
      <c r="L117" s="39">
        <v>0.061000000000000006</v>
      </c>
      <c r="M117" s="39">
        <v>0.068</v>
      </c>
      <c r="N117" s="36">
        <v>6.5</v>
      </c>
      <c r="O117" s="36">
        <v>5.4</v>
      </c>
      <c r="P117" s="36">
        <v>6.1000000000000005</v>
      </c>
      <c r="Q117" s="36">
        <v>6.800000000000001</v>
      </c>
      <c r="R117" s="39">
        <v>0.025</v>
      </c>
    </row>
    <row r="118" spans="1:18" ht="12.75">
      <c r="A118" s="85" t="s">
        <v>1399</v>
      </c>
      <c r="B118" s="86" t="s">
        <v>876</v>
      </c>
      <c r="C118" s="109" t="str">
        <f t="shared" si="3"/>
        <v>4 lat/a od dnia zakupu</v>
      </c>
      <c r="D118" s="109">
        <v>39934</v>
      </c>
      <c r="E118" s="109">
        <v>39964</v>
      </c>
      <c r="F118" s="110">
        <v>100</v>
      </c>
      <c r="G118" s="119">
        <v>99.9</v>
      </c>
      <c r="H118" s="101">
        <v>51.6661</v>
      </c>
      <c r="I118" s="101">
        <v>3.8138</v>
      </c>
      <c r="J118" s="39">
        <v>0.065</v>
      </c>
      <c r="K118" s="39">
        <v>0.051000000000000004</v>
      </c>
      <c r="L118" s="39">
        <v>0.068</v>
      </c>
      <c r="M118" s="39">
        <v>0.064</v>
      </c>
      <c r="N118" s="36">
        <v>6.5</v>
      </c>
      <c r="O118" s="36">
        <v>5.1000000000000005</v>
      </c>
      <c r="P118" s="36">
        <v>6.800000000000001</v>
      </c>
      <c r="Q118" s="36">
        <v>6.4</v>
      </c>
      <c r="R118" s="39">
        <v>0.025</v>
      </c>
    </row>
    <row r="119" spans="1:18" ht="12.75">
      <c r="A119" s="85" t="s">
        <v>1400</v>
      </c>
      <c r="B119" s="86" t="s">
        <v>875</v>
      </c>
      <c r="C119" s="109" t="str">
        <f t="shared" si="3"/>
        <v>4 lat/a od dnia zakupu</v>
      </c>
      <c r="D119" s="109">
        <v>39965</v>
      </c>
      <c r="E119" s="87">
        <v>39994</v>
      </c>
      <c r="F119" s="110">
        <v>100</v>
      </c>
      <c r="G119" s="119">
        <v>99.9</v>
      </c>
      <c r="H119" s="101">
        <v>61.0878</v>
      </c>
      <c r="I119" s="101">
        <v>5.2005</v>
      </c>
      <c r="J119" s="39">
        <v>0.065</v>
      </c>
      <c r="K119" s="39">
        <v>0.049</v>
      </c>
      <c r="L119" s="39">
        <v>0.07</v>
      </c>
      <c r="M119" s="39">
        <v>0.065</v>
      </c>
      <c r="N119" s="36">
        <v>6.5</v>
      </c>
      <c r="O119" s="36">
        <v>4.9</v>
      </c>
      <c r="P119" s="36">
        <v>7.000000000000001</v>
      </c>
      <c r="Q119" s="36">
        <v>6.5</v>
      </c>
      <c r="R119" s="39">
        <v>0.025</v>
      </c>
    </row>
    <row r="120" spans="1:18" ht="12.75">
      <c r="A120" s="85" t="s">
        <v>884</v>
      </c>
      <c r="B120" s="86" t="s">
        <v>887</v>
      </c>
      <c r="C120" s="87" t="str">
        <f t="shared" si="3"/>
        <v>4 lat/a od dnia zakupu</v>
      </c>
      <c r="D120" s="87">
        <v>39995</v>
      </c>
      <c r="E120" s="87">
        <v>40025</v>
      </c>
      <c r="F120" s="88">
        <v>100</v>
      </c>
      <c r="G120" s="120">
        <v>99.9</v>
      </c>
      <c r="H120" s="101">
        <v>38.9586</v>
      </c>
      <c r="I120" s="101">
        <v>0.9928</v>
      </c>
      <c r="J120" s="39">
        <v>0.06</v>
      </c>
      <c r="K120" s="39">
        <v>0.047</v>
      </c>
      <c r="L120" s="39">
        <v>0.07500000000000001</v>
      </c>
      <c r="M120" s="39">
        <v>0.061000000000000006</v>
      </c>
      <c r="N120" s="36">
        <v>6</v>
      </c>
      <c r="O120" s="36">
        <v>4.7</v>
      </c>
      <c r="P120" s="36">
        <v>7.500000000000001</v>
      </c>
      <c r="Q120" s="36">
        <v>6.1000000000000005</v>
      </c>
      <c r="R120" s="39">
        <v>0.025</v>
      </c>
    </row>
    <row r="121" spans="1:18" ht="12.75">
      <c r="A121" s="85" t="s">
        <v>885</v>
      </c>
      <c r="B121" s="86" t="s">
        <v>888</v>
      </c>
      <c r="C121" s="87" t="str">
        <f t="shared" si="3"/>
        <v>4 lat/a od dnia zakupu</v>
      </c>
      <c r="D121" s="87">
        <v>40026</v>
      </c>
      <c r="E121" s="87">
        <v>40056</v>
      </c>
      <c r="F121" s="88">
        <v>100</v>
      </c>
      <c r="G121" s="120">
        <v>99.9</v>
      </c>
      <c r="H121" s="101">
        <v>25.937</v>
      </c>
      <c r="I121" s="101">
        <v>2.2387</v>
      </c>
      <c r="J121" s="39">
        <v>0.0575</v>
      </c>
      <c r="K121" s="39">
        <v>0.048</v>
      </c>
      <c r="L121" s="39">
        <v>0.067</v>
      </c>
      <c r="M121" s="39">
        <v>0.068</v>
      </c>
      <c r="N121" s="36">
        <v>5.75</v>
      </c>
      <c r="O121" s="36">
        <v>4.8</v>
      </c>
      <c r="P121" s="36">
        <v>6.7</v>
      </c>
      <c r="Q121" s="36">
        <v>6.800000000000001</v>
      </c>
      <c r="R121" s="39">
        <v>0.025</v>
      </c>
    </row>
    <row r="122" spans="1:18" ht="12.75">
      <c r="A122" s="85" t="s">
        <v>897</v>
      </c>
      <c r="B122" s="86" t="s">
        <v>898</v>
      </c>
      <c r="C122" s="87" t="str">
        <f t="shared" si="3"/>
        <v>4 lat/a od dnia zakupu</v>
      </c>
      <c r="D122" s="87">
        <v>40057</v>
      </c>
      <c r="E122" s="87">
        <v>40086</v>
      </c>
      <c r="F122" s="88">
        <v>100</v>
      </c>
      <c r="G122" s="120">
        <v>99.9</v>
      </c>
      <c r="H122" s="101">
        <v>42.4012</v>
      </c>
      <c r="I122" s="101">
        <v>1.625</v>
      </c>
      <c r="J122" s="39">
        <v>0.0575</v>
      </c>
      <c r="K122" s="39">
        <v>0.045</v>
      </c>
      <c r="L122" s="39">
        <v>0.066</v>
      </c>
      <c r="M122" s="39">
        <v>0.065</v>
      </c>
      <c r="N122" s="36">
        <v>5.75</v>
      </c>
      <c r="O122" s="36">
        <v>4.5</v>
      </c>
      <c r="P122" s="36">
        <v>6.6000000000000005</v>
      </c>
      <c r="Q122" s="36">
        <v>6.5</v>
      </c>
      <c r="R122" s="39">
        <v>0.025</v>
      </c>
    </row>
    <row r="123" spans="1:18" ht="12.75">
      <c r="A123" s="85" t="s">
        <v>903</v>
      </c>
      <c r="B123" s="86" t="s">
        <v>904</v>
      </c>
      <c r="C123" s="87" t="str">
        <f t="shared" si="3"/>
        <v>4 lat/a od dnia zakupu</v>
      </c>
      <c r="D123" s="87">
        <v>40087</v>
      </c>
      <c r="E123" s="87">
        <v>40117</v>
      </c>
      <c r="F123" s="88">
        <v>100</v>
      </c>
      <c r="G123" s="120">
        <v>99.9</v>
      </c>
      <c r="H123" s="101">
        <v>34.1881</v>
      </c>
      <c r="I123" s="101">
        <v>1.3264</v>
      </c>
      <c r="J123" s="39">
        <v>0.0575</v>
      </c>
      <c r="K123" s="39">
        <v>0.045</v>
      </c>
      <c r="L123" s="39">
        <v>0.068</v>
      </c>
      <c r="M123" s="39">
        <v>0.063</v>
      </c>
      <c r="N123" s="36">
        <v>5.75</v>
      </c>
      <c r="O123" s="36">
        <v>4.5</v>
      </c>
      <c r="P123" s="36">
        <v>6.800000000000001</v>
      </c>
      <c r="Q123" s="36">
        <v>6.3</v>
      </c>
      <c r="R123" s="39">
        <v>0.025</v>
      </c>
    </row>
    <row r="124" spans="1:18" ht="12.75">
      <c r="A124" s="85" t="s">
        <v>909</v>
      </c>
      <c r="B124" s="86" t="s">
        <v>910</v>
      </c>
      <c r="C124" s="87" t="str">
        <f t="shared" si="3"/>
        <v>4 lat/a od dnia zakupu</v>
      </c>
      <c r="D124" s="87">
        <v>40118</v>
      </c>
      <c r="E124" s="87">
        <v>40147</v>
      </c>
      <c r="F124" s="88">
        <v>100</v>
      </c>
      <c r="G124" s="120">
        <v>99.9</v>
      </c>
      <c r="H124" s="101">
        <v>32.9425</v>
      </c>
      <c r="I124" s="101">
        <v>2.5114</v>
      </c>
      <c r="J124" s="39">
        <v>0.0575</v>
      </c>
      <c r="K124" s="39">
        <v>0.05</v>
      </c>
      <c r="L124" s="39">
        <v>0.064</v>
      </c>
      <c r="M124" s="39">
        <v>0.063</v>
      </c>
      <c r="N124" s="36">
        <v>5.75</v>
      </c>
      <c r="O124" s="36">
        <v>5</v>
      </c>
      <c r="P124" s="36">
        <v>6.4</v>
      </c>
      <c r="Q124" s="36">
        <v>6.3</v>
      </c>
      <c r="R124" s="39">
        <v>0.025</v>
      </c>
    </row>
    <row r="125" spans="1:256" s="25" customFormat="1" ht="12.75">
      <c r="A125" s="90" t="s">
        <v>917</v>
      </c>
      <c r="B125" s="91" t="s">
        <v>918</v>
      </c>
      <c r="C125" s="111" t="str">
        <f t="shared" si="3"/>
        <v>4 lat/a od dnia zakupu</v>
      </c>
      <c r="D125" s="111">
        <v>40148</v>
      </c>
      <c r="E125" s="111">
        <v>40178</v>
      </c>
      <c r="F125" s="112">
        <v>100</v>
      </c>
      <c r="G125" s="121">
        <v>99.9</v>
      </c>
      <c r="H125" s="106">
        <v>46.4541</v>
      </c>
      <c r="I125" s="106">
        <v>4.2367</v>
      </c>
      <c r="J125" s="41">
        <v>0.0575</v>
      </c>
      <c r="K125" s="41">
        <v>0.053</v>
      </c>
      <c r="L125" s="41">
        <v>0.068</v>
      </c>
      <c r="M125" s="41">
        <v>0.059000000000000004</v>
      </c>
      <c r="N125" s="38">
        <v>5.75</v>
      </c>
      <c r="O125" s="38">
        <v>5.3</v>
      </c>
      <c r="P125" s="38">
        <v>6.800000000000001</v>
      </c>
      <c r="Q125" s="38">
        <v>5.9</v>
      </c>
      <c r="R125" s="41">
        <v>0.025</v>
      </c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3"/>
      <c r="IU125" s="13"/>
      <c r="IV125" s="13"/>
    </row>
    <row r="126" spans="1:18" ht="12.75">
      <c r="A126" s="113" t="s">
        <v>922</v>
      </c>
      <c r="B126" s="114" t="s">
        <v>930</v>
      </c>
      <c r="C126" s="115" t="str">
        <f t="shared" si="3"/>
        <v>4 lat/a od dnia zakupu</v>
      </c>
      <c r="D126" s="115">
        <v>40179</v>
      </c>
      <c r="E126" s="115">
        <v>40209</v>
      </c>
      <c r="F126" s="116">
        <v>100</v>
      </c>
      <c r="G126" s="117">
        <v>99.9</v>
      </c>
      <c r="H126" s="118">
        <v>32.2123</v>
      </c>
      <c r="I126" s="118">
        <v>3.0635</v>
      </c>
      <c r="J126" s="40">
        <v>0.0575</v>
      </c>
      <c r="K126" s="40">
        <v>0.052000000000000005</v>
      </c>
      <c r="L126" s="40">
        <v>0.07300000000000001</v>
      </c>
      <c r="M126" s="40">
        <v>0.053</v>
      </c>
      <c r="N126" s="37">
        <v>5.75</v>
      </c>
      <c r="O126" s="37">
        <v>5.2</v>
      </c>
      <c r="P126" s="37">
        <v>7.300000000000001</v>
      </c>
      <c r="Q126" s="37">
        <v>5.3</v>
      </c>
      <c r="R126" s="40">
        <v>0.025</v>
      </c>
    </row>
    <row r="127" spans="1:18" ht="12.75">
      <c r="A127" s="85" t="s">
        <v>929</v>
      </c>
      <c r="B127" s="86" t="s">
        <v>931</v>
      </c>
      <c r="C127" s="109" t="str">
        <f t="shared" si="3"/>
        <v>4 lat/a od dnia zakupu</v>
      </c>
      <c r="D127" s="109">
        <v>40210</v>
      </c>
      <c r="E127" s="109">
        <v>40237</v>
      </c>
      <c r="F127" s="110">
        <v>100</v>
      </c>
      <c r="G127" s="119">
        <v>99.9</v>
      </c>
      <c r="H127" s="101">
        <v>43.7235</v>
      </c>
      <c r="I127" s="101">
        <v>5.124</v>
      </c>
      <c r="J127" s="39">
        <v>0.0575</v>
      </c>
      <c r="K127" s="39">
        <v>0.056</v>
      </c>
      <c r="L127" s="39">
        <v>0.07100000000000001</v>
      </c>
      <c r="M127" s="39">
        <v>0.049</v>
      </c>
      <c r="N127" s="36">
        <v>5.75</v>
      </c>
      <c r="O127" s="36">
        <v>5.6000000000000005</v>
      </c>
      <c r="P127" s="36">
        <v>7.1000000000000005</v>
      </c>
      <c r="Q127" s="36">
        <v>4.9</v>
      </c>
      <c r="R127" s="39">
        <v>0.025</v>
      </c>
    </row>
    <row r="128" spans="1:18" ht="12.75">
      <c r="A128" s="85" t="s">
        <v>936</v>
      </c>
      <c r="B128" s="86" t="s">
        <v>943</v>
      </c>
      <c r="C128" s="109" t="str">
        <f t="shared" si="3"/>
        <v>4 lat/a od dnia zakupu</v>
      </c>
      <c r="D128" s="109">
        <v>40238</v>
      </c>
      <c r="E128" s="109">
        <v>40268</v>
      </c>
      <c r="F128" s="110">
        <v>100</v>
      </c>
      <c r="G128" s="119">
        <v>99.9</v>
      </c>
      <c r="H128" s="101">
        <v>40.4175</v>
      </c>
      <c r="I128" s="101">
        <v>2.2289</v>
      </c>
      <c r="J128" s="39">
        <v>0.0575</v>
      </c>
      <c r="K128" s="39">
        <v>0.063</v>
      </c>
      <c r="L128" s="39">
        <v>0.066</v>
      </c>
      <c r="M128" s="39">
        <v>0.042</v>
      </c>
      <c r="N128" s="36">
        <v>5.75</v>
      </c>
      <c r="O128" s="36">
        <v>6.3</v>
      </c>
      <c r="P128" s="36">
        <v>6.6000000000000005</v>
      </c>
      <c r="Q128" s="36">
        <v>4.2</v>
      </c>
      <c r="R128" s="39">
        <v>0.025</v>
      </c>
    </row>
    <row r="129" spans="1:18" ht="12.75">
      <c r="A129" s="85" t="s">
        <v>942</v>
      </c>
      <c r="B129" s="86" t="s">
        <v>944</v>
      </c>
      <c r="C129" s="109" t="str">
        <f t="shared" si="3"/>
        <v>4 lat/a od dnia zakupu</v>
      </c>
      <c r="D129" s="109">
        <v>40269</v>
      </c>
      <c r="E129" s="109">
        <v>40298</v>
      </c>
      <c r="F129" s="110">
        <v>100</v>
      </c>
      <c r="G129" s="119">
        <v>99.9</v>
      </c>
      <c r="H129" s="101">
        <v>16.3639</v>
      </c>
      <c r="I129" s="101">
        <v>1.3028</v>
      </c>
      <c r="J129" s="39">
        <v>0.0475</v>
      </c>
      <c r="K129" s="39">
        <v>0.061000000000000006</v>
      </c>
      <c r="L129" s="39">
        <v>0.068</v>
      </c>
      <c r="M129" s="39">
        <v>0.038000000000000006</v>
      </c>
      <c r="N129" s="36">
        <v>4.75</v>
      </c>
      <c r="O129" s="36">
        <v>6.1000000000000005</v>
      </c>
      <c r="P129" s="36">
        <v>6.800000000000001</v>
      </c>
      <c r="Q129" s="36">
        <v>3.8000000000000007</v>
      </c>
      <c r="R129" s="39">
        <v>0.025</v>
      </c>
    </row>
    <row r="130" spans="1:18" ht="12.75">
      <c r="A130" s="85" t="s">
        <v>950</v>
      </c>
      <c r="B130" s="86" t="s">
        <v>951</v>
      </c>
      <c r="C130" s="109" t="str">
        <f t="shared" si="3"/>
        <v>4 lat/a od dnia zakupu</v>
      </c>
      <c r="D130" s="109">
        <v>40299</v>
      </c>
      <c r="E130" s="109">
        <v>40329</v>
      </c>
      <c r="F130" s="110">
        <v>100</v>
      </c>
      <c r="G130" s="119">
        <v>99.9</v>
      </c>
      <c r="H130" s="101">
        <v>15.8636</v>
      </c>
      <c r="I130" s="101">
        <v>2.5883</v>
      </c>
      <c r="J130" s="39">
        <v>0.045</v>
      </c>
      <c r="K130" s="39">
        <v>0.068</v>
      </c>
      <c r="L130" s="39">
        <v>0.064</v>
      </c>
      <c r="M130" s="39">
        <v>0.035</v>
      </c>
      <c r="N130" s="36">
        <v>4.5</v>
      </c>
      <c r="O130" s="36">
        <v>6.800000000000001</v>
      </c>
      <c r="P130" s="36">
        <v>6.4</v>
      </c>
      <c r="Q130" s="36">
        <v>3.5000000000000004</v>
      </c>
      <c r="R130" s="39">
        <v>0.025</v>
      </c>
    </row>
    <row r="131" spans="1:18" ht="12.75">
      <c r="A131" s="85" t="s">
        <v>956</v>
      </c>
      <c r="B131" s="86" t="s">
        <v>959</v>
      </c>
      <c r="C131" s="109" t="str">
        <f t="shared" si="3"/>
        <v>4 lat/a od dnia zakupu</v>
      </c>
      <c r="D131" s="109">
        <v>40330</v>
      </c>
      <c r="E131" s="87">
        <v>40328</v>
      </c>
      <c r="F131" s="110">
        <v>100</v>
      </c>
      <c r="G131" s="119">
        <v>99.9</v>
      </c>
      <c r="H131" s="101">
        <v>15.4547</v>
      </c>
      <c r="I131" s="101">
        <v>2.8083</v>
      </c>
      <c r="J131" s="39">
        <v>0.045</v>
      </c>
      <c r="K131" s="39">
        <v>0.07</v>
      </c>
      <c r="L131" s="39">
        <v>0.065</v>
      </c>
      <c r="M131" s="39">
        <v>0.033</v>
      </c>
      <c r="N131" s="36">
        <v>4.5</v>
      </c>
      <c r="O131" s="36">
        <v>7.000000000000001</v>
      </c>
      <c r="P131" s="36">
        <v>6.5</v>
      </c>
      <c r="Q131" s="36">
        <v>3.3000000000000003</v>
      </c>
      <c r="R131" s="39">
        <v>0.025</v>
      </c>
    </row>
    <row r="132" spans="1:18" ht="12.75">
      <c r="A132" s="85" t="s">
        <v>962</v>
      </c>
      <c r="B132" s="86" t="s">
        <v>965</v>
      </c>
      <c r="C132" s="87" t="str">
        <f t="shared" si="3"/>
        <v>4 lat/a od dnia zakupu</v>
      </c>
      <c r="D132" s="87">
        <v>40360</v>
      </c>
      <c r="E132" s="87">
        <v>40390</v>
      </c>
      <c r="F132" s="88">
        <v>100</v>
      </c>
      <c r="G132" s="120">
        <v>99.9</v>
      </c>
      <c r="H132" s="101">
        <v>13.7104</v>
      </c>
      <c r="I132" s="101">
        <v>4.0752</v>
      </c>
      <c r="J132" s="39">
        <v>0.045</v>
      </c>
      <c r="K132" s="39">
        <v>0.07500000000000001</v>
      </c>
      <c r="L132" s="39">
        <v>0.061000000000000006</v>
      </c>
      <c r="M132" s="39">
        <v>0.030000000000000002</v>
      </c>
      <c r="N132" s="36">
        <v>4.5</v>
      </c>
      <c r="O132" s="36">
        <v>7.500000000000001</v>
      </c>
      <c r="P132" s="36">
        <v>6.1000000000000005</v>
      </c>
      <c r="Q132" s="36">
        <v>3.0000000000000004</v>
      </c>
      <c r="R132" s="39">
        <v>0.025</v>
      </c>
    </row>
    <row r="133" spans="1:18" ht="12.75">
      <c r="A133" s="85" t="s">
        <v>971</v>
      </c>
      <c r="B133" s="86" t="s">
        <v>972</v>
      </c>
      <c r="C133" s="87" t="str">
        <f t="shared" si="3"/>
        <v>4 lat/a od dnia zakupu</v>
      </c>
      <c r="D133" s="87">
        <v>40391</v>
      </c>
      <c r="E133" s="87">
        <v>40421</v>
      </c>
      <c r="F133" s="88">
        <v>100</v>
      </c>
      <c r="G133" s="120">
        <v>99.9</v>
      </c>
      <c r="H133" s="101">
        <v>24.9359</v>
      </c>
      <c r="I133" s="101">
        <v>4.6609</v>
      </c>
      <c r="J133" s="39">
        <v>0.045</v>
      </c>
      <c r="K133" s="39">
        <v>0.067</v>
      </c>
      <c r="L133" s="39">
        <v>0.068</v>
      </c>
      <c r="M133" s="39">
        <v>0.027000000000000003</v>
      </c>
      <c r="N133" s="36">
        <v>4.5</v>
      </c>
      <c r="O133" s="36">
        <v>6.7</v>
      </c>
      <c r="P133" s="36">
        <v>6.800000000000001</v>
      </c>
      <c r="Q133" s="36">
        <v>2.7</v>
      </c>
      <c r="R133" s="39">
        <v>0.025</v>
      </c>
    </row>
    <row r="134" spans="1:18" ht="12.75">
      <c r="A134" s="85" t="s">
        <v>977</v>
      </c>
      <c r="B134" s="86" t="s">
        <v>978</v>
      </c>
      <c r="C134" s="87" t="str">
        <f t="shared" si="3"/>
        <v>4 lat/a od dnia zakupu</v>
      </c>
      <c r="D134" s="87">
        <v>40422</v>
      </c>
      <c r="E134" s="87">
        <v>40451</v>
      </c>
      <c r="F134" s="88">
        <v>100</v>
      </c>
      <c r="G134" s="120">
        <v>99.9</v>
      </c>
      <c r="H134" s="101">
        <v>16.3116</v>
      </c>
      <c r="I134" s="101">
        <v>2.8383</v>
      </c>
      <c r="J134" s="39">
        <v>0.045</v>
      </c>
      <c r="K134" s="39">
        <v>0.066</v>
      </c>
      <c r="L134" s="39">
        <v>0.065</v>
      </c>
      <c r="M134" s="39">
        <v>0.036000000000000004</v>
      </c>
      <c r="N134" s="36">
        <v>4.5</v>
      </c>
      <c r="O134" s="36">
        <v>6.6000000000000005</v>
      </c>
      <c r="P134" s="36">
        <v>6.5</v>
      </c>
      <c r="Q134" s="36">
        <v>3.6000000000000005</v>
      </c>
      <c r="R134" s="39">
        <v>0.025</v>
      </c>
    </row>
    <row r="135" spans="1:18" ht="12.75">
      <c r="A135" s="85" t="s">
        <v>983</v>
      </c>
      <c r="B135" s="86" t="s">
        <v>984</v>
      </c>
      <c r="C135" s="87" t="str">
        <f t="shared" si="3"/>
        <v>4 lat/a od dnia zakupu</v>
      </c>
      <c r="D135" s="87">
        <v>40452</v>
      </c>
      <c r="E135" s="87">
        <v>40482</v>
      </c>
      <c r="F135" s="88">
        <v>100</v>
      </c>
      <c r="G135" s="120">
        <v>99.9</v>
      </c>
      <c r="H135" s="101">
        <v>16.3717</v>
      </c>
      <c r="I135" s="101">
        <v>3.138</v>
      </c>
      <c r="J135" s="39">
        <v>0.045</v>
      </c>
      <c r="K135" s="39">
        <v>0.068</v>
      </c>
      <c r="L135" s="39">
        <v>0.063</v>
      </c>
      <c r="M135" s="39">
        <v>0.036000000000000004</v>
      </c>
      <c r="N135" s="36">
        <v>4.5</v>
      </c>
      <c r="O135" s="36">
        <v>6.800000000000001</v>
      </c>
      <c r="P135" s="36">
        <v>6.3</v>
      </c>
      <c r="Q135" s="36">
        <v>3.6000000000000005</v>
      </c>
      <c r="R135" s="39">
        <v>0.025</v>
      </c>
    </row>
    <row r="136" spans="1:18" ht="12.75">
      <c r="A136" s="85" t="s">
        <v>993</v>
      </c>
      <c r="B136" s="86" t="s">
        <v>991</v>
      </c>
      <c r="C136" s="87" t="str">
        <f t="shared" si="3"/>
        <v>4 lat/a od dnia zakupu</v>
      </c>
      <c r="D136" s="87">
        <v>40483</v>
      </c>
      <c r="E136" s="87">
        <v>40512</v>
      </c>
      <c r="F136" s="88">
        <v>100</v>
      </c>
      <c r="G136" s="120">
        <v>99.9</v>
      </c>
      <c r="H136" s="101">
        <v>29.7294</v>
      </c>
      <c r="I136" s="101">
        <v>6.1594</v>
      </c>
      <c r="J136" s="39">
        <v>0.045</v>
      </c>
      <c r="K136" s="39">
        <v>0.064</v>
      </c>
      <c r="L136" s="39">
        <v>0.063</v>
      </c>
      <c r="M136" s="39">
        <v>0.035</v>
      </c>
      <c r="N136" s="36">
        <v>4.5</v>
      </c>
      <c r="O136" s="36">
        <v>6.4</v>
      </c>
      <c r="P136" s="36">
        <v>6.3</v>
      </c>
      <c r="Q136" s="36">
        <v>3.5000000000000004</v>
      </c>
      <c r="R136" s="39">
        <v>0.025</v>
      </c>
    </row>
    <row r="137" spans="1:256" s="25" customFormat="1" ht="12.75">
      <c r="A137" s="90" t="s">
        <v>997</v>
      </c>
      <c r="B137" s="91" t="s">
        <v>998</v>
      </c>
      <c r="C137" s="111" t="str">
        <f t="shared" si="3"/>
        <v>4 lat/a od dnia zakupu</v>
      </c>
      <c r="D137" s="111">
        <v>40513</v>
      </c>
      <c r="E137" s="111">
        <v>40543</v>
      </c>
      <c r="F137" s="112">
        <v>100</v>
      </c>
      <c r="G137" s="121">
        <v>99.9</v>
      </c>
      <c r="H137" s="106">
        <v>20.5286</v>
      </c>
      <c r="I137" s="106">
        <v>2.2229</v>
      </c>
      <c r="J137" s="41">
        <v>0.045</v>
      </c>
      <c r="K137" s="41">
        <v>0.068</v>
      </c>
      <c r="L137" s="41">
        <v>0.059000000000000004</v>
      </c>
      <c r="M137" s="41">
        <v>0.033</v>
      </c>
      <c r="N137" s="38">
        <v>4.5</v>
      </c>
      <c r="O137" s="38">
        <v>6.800000000000001</v>
      </c>
      <c r="P137" s="38">
        <v>5.9</v>
      </c>
      <c r="Q137" s="38">
        <v>3.3000000000000003</v>
      </c>
      <c r="R137" s="41">
        <v>0.025</v>
      </c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3"/>
      <c r="IU137" s="13"/>
      <c r="IV137" s="13"/>
    </row>
    <row r="138" spans="1:18" ht="12.75">
      <c r="A138" s="113" t="s">
        <v>1005</v>
      </c>
      <c r="B138" s="114" t="s">
        <v>1006</v>
      </c>
      <c r="C138" s="115" t="str">
        <f t="shared" si="3"/>
        <v>4 lat/a od dnia zakupu</v>
      </c>
      <c r="D138" s="115">
        <v>40544</v>
      </c>
      <c r="E138" s="115">
        <v>40574</v>
      </c>
      <c r="F138" s="116">
        <v>100</v>
      </c>
      <c r="G138" s="117">
        <v>99.9</v>
      </c>
      <c r="H138" s="118">
        <v>10.8068</v>
      </c>
      <c r="I138" s="118">
        <v>2.0013</v>
      </c>
      <c r="J138" s="40">
        <v>0.045</v>
      </c>
      <c r="K138" s="40">
        <v>0.07300000000000001</v>
      </c>
      <c r="L138" s="40">
        <v>0.053</v>
      </c>
      <c r="M138" s="40">
        <v>0.031</v>
      </c>
      <c r="N138" s="37">
        <v>4.5</v>
      </c>
      <c r="O138" s="37">
        <v>7.300000000000001</v>
      </c>
      <c r="P138" s="37">
        <v>5.3</v>
      </c>
      <c r="Q138" s="37">
        <v>3.1</v>
      </c>
      <c r="R138" s="40">
        <v>0.025</v>
      </c>
    </row>
    <row r="139" spans="1:18" ht="12.75">
      <c r="A139" s="85" t="s">
        <v>1013</v>
      </c>
      <c r="B139" s="86" t="s">
        <v>1015</v>
      </c>
      <c r="C139" s="109" t="str">
        <f t="shared" si="3"/>
        <v>4 lat/a od dnia zakupu</v>
      </c>
      <c r="D139" s="109">
        <v>40575</v>
      </c>
      <c r="E139" s="109">
        <v>40602</v>
      </c>
      <c r="F139" s="110">
        <v>100</v>
      </c>
      <c r="G139" s="119">
        <v>99.9</v>
      </c>
      <c r="H139" s="101">
        <v>35.2236</v>
      </c>
      <c r="I139" s="101">
        <v>2.1545</v>
      </c>
      <c r="J139" s="39">
        <v>0.05</v>
      </c>
      <c r="K139" s="39">
        <v>0.07100000000000001</v>
      </c>
      <c r="L139" s="39">
        <v>0.049</v>
      </c>
      <c r="M139" s="39">
        <v>0.032</v>
      </c>
      <c r="N139" s="36">
        <v>5</v>
      </c>
      <c r="O139" s="36">
        <v>7.1000000000000005</v>
      </c>
      <c r="P139" s="36">
        <v>4.9</v>
      </c>
      <c r="Q139" s="36">
        <v>3.2</v>
      </c>
      <c r="R139" s="39">
        <v>0.025</v>
      </c>
    </row>
    <row r="140" spans="1:18" ht="12.75">
      <c r="A140" s="85" t="s">
        <v>1014</v>
      </c>
      <c r="B140" s="86" t="s">
        <v>1016</v>
      </c>
      <c r="C140" s="109" t="str">
        <f t="shared" si="3"/>
        <v>4 lat/a od dnia zakupu</v>
      </c>
      <c r="D140" s="109">
        <v>40603</v>
      </c>
      <c r="E140" s="109">
        <v>40633</v>
      </c>
      <c r="F140" s="110">
        <v>100</v>
      </c>
      <c r="G140" s="119">
        <v>99.9</v>
      </c>
      <c r="H140" s="101">
        <v>30.4608</v>
      </c>
      <c r="I140" s="101">
        <v>3.0736</v>
      </c>
      <c r="J140" s="39">
        <v>0.05</v>
      </c>
      <c r="K140" s="39">
        <v>0.066</v>
      </c>
      <c r="L140" s="39">
        <v>0.042</v>
      </c>
      <c r="M140" s="39">
        <v>0.032</v>
      </c>
      <c r="N140" s="36">
        <v>5</v>
      </c>
      <c r="O140" s="36">
        <v>6.6000000000000005</v>
      </c>
      <c r="P140" s="36">
        <v>4.2</v>
      </c>
      <c r="Q140" s="36">
        <v>3.2</v>
      </c>
      <c r="R140" s="39">
        <v>0.025</v>
      </c>
    </row>
    <row r="141" spans="1:18" ht="12.75">
      <c r="A141" s="85" t="s">
        <v>1031</v>
      </c>
      <c r="B141" s="86" t="s">
        <v>1032</v>
      </c>
      <c r="C141" s="109" t="str">
        <f t="shared" si="3"/>
        <v>4 lat/a od dnia zakupu</v>
      </c>
      <c r="D141" s="109">
        <v>40634</v>
      </c>
      <c r="E141" s="109">
        <v>40663</v>
      </c>
      <c r="F141" s="110">
        <v>100</v>
      </c>
      <c r="G141" s="119">
        <v>99.9</v>
      </c>
      <c r="H141" s="101">
        <v>26.4611</v>
      </c>
      <c r="I141" s="101">
        <v>1.1269</v>
      </c>
      <c r="J141" s="39">
        <v>0.05</v>
      </c>
      <c r="K141" s="39">
        <v>0.068</v>
      </c>
      <c r="L141" s="39">
        <v>0.038000000000000006</v>
      </c>
      <c r="M141" s="39">
        <v>0.032</v>
      </c>
      <c r="N141" s="36">
        <v>5</v>
      </c>
      <c r="O141" s="36">
        <v>6.800000000000001</v>
      </c>
      <c r="P141" s="36">
        <v>3.8000000000000007</v>
      </c>
      <c r="Q141" s="36">
        <v>3.2</v>
      </c>
      <c r="R141" s="39">
        <v>0.025</v>
      </c>
    </row>
    <row r="142" spans="1:18" ht="12.75">
      <c r="A142" s="85" t="s">
        <v>1036</v>
      </c>
      <c r="B142" s="86" t="s">
        <v>1037</v>
      </c>
      <c r="C142" s="109" t="str">
        <f t="shared" si="3"/>
        <v>4 lat/a od dnia zakupu</v>
      </c>
      <c r="D142" s="109">
        <v>40664</v>
      </c>
      <c r="E142" s="109">
        <v>40694</v>
      </c>
      <c r="F142" s="110">
        <v>100</v>
      </c>
      <c r="G142" s="119">
        <v>99.9</v>
      </c>
      <c r="H142" s="101">
        <v>43.4179</v>
      </c>
      <c r="I142" s="101">
        <v>1.927</v>
      </c>
      <c r="J142" s="39">
        <v>0.05</v>
      </c>
      <c r="K142" s="39">
        <v>0.064</v>
      </c>
      <c r="L142" s="39">
        <v>0.035</v>
      </c>
      <c r="M142" s="39">
        <v>0.032</v>
      </c>
      <c r="N142" s="36">
        <v>5</v>
      </c>
      <c r="O142" s="36">
        <v>6.4</v>
      </c>
      <c r="P142" s="36">
        <v>3.5000000000000004</v>
      </c>
      <c r="Q142" s="36">
        <v>3.2</v>
      </c>
      <c r="R142" s="39">
        <v>0.025</v>
      </c>
    </row>
    <row r="143" spans="1:18" ht="12.75">
      <c r="A143" s="85" t="s">
        <v>1040</v>
      </c>
      <c r="B143" s="86" t="s">
        <v>1042</v>
      </c>
      <c r="C143" s="109" t="str">
        <f t="shared" si="3"/>
        <v>4 lat/a od dnia zakupu</v>
      </c>
      <c r="D143" s="109">
        <v>40695</v>
      </c>
      <c r="E143" s="87">
        <v>40724</v>
      </c>
      <c r="F143" s="110">
        <v>100</v>
      </c>
      <c r="G143" s="119">
        <v>99.9</v>
      </c>
      <c r="H143" s="101">
        <v>25.8544</v>
      </c>
      <c r="I143" s="101">
        <v>2.7073</v>
      </c>
      <c r="J143" s="39">
        <v>0.05</v>
      </c>
      <c r="K143" s="39">
        <v>0.065</v>
      </c>
      <c r="L143" s="39">
        <v>0.033</v>
      </c>
      <c r="M143" s="39">
        <v>0.028</v>
      </c>
      <c r="N143" s="36">
        <v>5</v>
      </c>
      <c r="O143" s="36">
        <v>6.5</v>
      </c>
      <c r="P143" s="36">
        <v>3.3000000000000003</v>
      </c>
      <c r="Q143" s="36">
        <v>2.8000000000000003</v>
      </c>
      <c r="R143" s="39">
        <v>0.025</v>
      </c>
    </row>
    <row r="144" spans="1:18" ht="12.75">
      <c r="A144" s="85" t="s">
        <v>1047</v>
      </c>
      <c r="B144" s="86" t="s">
        <v>1048</v>
      </c>
      <c r="C144" s="87" t="str">
        <f t="shared" si="3"/>
        <v>4 lat/a od dnia zakupu</v>
      </c>
      <c r="D144" s="87">
        <v>40725</v>
      </c>
      <c r="E144" s="87">
        <v>40755</v>
      </c>
      <c r="F144" s="88">
        <v>100</v>
      </c>
      <c r="G144" s="120">
        <v>99.9</v>
      </c>
      <c r="H144" s="101">
        <v>31.3171</v>
      </c>
      <c r="I144" s="101">
        <v>2.0948</v>
      </c>
      <c r="J144" s="39">
        <v>0.05</v>
      </c>
      <c r="K144" s="39">
        <v>0.061000000000000006</v>
      </c>
      <c r="L144" s="39">
        <v>0.030000000000000002</v>
      </c>
      <c r="M144" s="39">
        <v>0.027000000000000003</v>
      </c>
      <c r="N144" s="36">
        <v>5</v>
      </c>
      <c r="O144" s="36">
        <v>6.1000000000000005</v>
      </c>
      <c r="P144" s="36">
        <v>3.0000000000000004</v>
      </c>
      <c r="Q144" s="36">
        <v>2.7</v>
      </c>
      <c r="R144" s="39">
        <v>0.025</v>
      </c>
    </row>
    <row r="145" spans="1:18" ht="15">
      <c r="A145" s="85" t="s">
        <v>1053</v>
      </c>
      <c r="B145" s="86" t="s">
        <v>1054</v>
      </c>
      <c r="C145" s="87" t="str">
        <f t="shared" si="3"/>
        <v>4 lat/a od dnia zakupu</v>
      </c>
      <c r="D145" s="87">
        <v>40756</v>
      </c>
      <c r="E145" s="87">
        <v>40786</v>
      </c>
      <c r="F145" s="88">
        <v>100</v>
      </c>
      <c r="G145" s="120">
        <v>99.9</v>
      </c>
      <c r="H145" s="101">
        <v>54.595</v>
      </c>
      <c r="I145" s="101">
        <v>6.0484</v>
      </c>
      <c r="J145" s="39">
        <v>0.05</v>
      </c>
      <c r="K145" s="39">
        <v>0.068</v>
      </c>
      <c r="L145" s="39">
        <v>0.027000000000000003</v>
      </c>
      <c r="M145" s="39">
        <v>0.028</v>
      </c>
      <c r="N145" s="36">
        <v>5</v>
      </c>
      <c r="O145" s="36">
        <v>6.800000000000001</v>
      </c>
      <c r="P145" s="36">
        <v>2.7</v>
      </c>
      <c r="Q145" s="36">
        <v>2.8000000000000003</v>
      </c>
      <c r="R145" s="39">
        <v>0.025</v>
      </c>
    </row>
    <row r="146" spans="1:18" ht="12.75">
      <c r="A146" s="85" t="s">
        <v>1057</v>
      </c>
      <c r="B146" s="86" t="s">
        <v>1058</v>
      </c>
      <c r="C146" s="87" t="str">
        <f t="shared" si="3"/>
        <v>4 lat/a od dnia zakupu</v>
      </c>
      <c r="D146" s="87">
        <v>40787</v>
      </c>
      <c r="E146" s="87">
        <v>40816</v>
      </c>
      <c r="F146" s="88">
        <v>100</v>
      </c>
      <c r="G146" s="120">
        <v>99.9</v>
      </c>
      <c r="H146" s="101">
        <v>52.8397</v>
      </c>
      <c r="I146" s="101">
        <v>4.3413</v>
      </c>
      <c r="J146" s="39">
        <v>0.05</v>
      </c>
      <c r="K146" s="39">
        <v>0.065</v>
      </c>
      <c r="L146" s="39">
        <v>0.036000000000000004</v>
      </c>
      <c r="M146" s="39">
        <v>0.025</v>
      </c>
      <c r="N146" s="36">
        <v>5</v>
      </c>
      <c r="O146" s="36">
        <v>6.5</v>
      </c>
      <c r="P146" s="36">
        <v>3.6000000000000005</v>
      </c>
      <c r="Q146" s="36">
        <v>2.5</v>
      </c>
      <c r="R146" s="39">
        <v>0.025</v>
      </c>
    </row>
    <row r="147" spans="1:18" ht="12.75">
      <c r="A147" s="85" t="s">
        <v>1062</v>
      </c>
      <c r="B147" s="86" t="s">
        <v>1063</v>
      </c>
      <c r="C147" s="87" t="str">
        <f t="shared" si="3"/>
        <v>4 lat/a od dnia zakupu</v>
      </c>
      <c r="D147" s="87">
        <v>40817</v>
      </c>
      <c r="E147" s="87">
        <v>40847</v>
      </c>
      <c r="F147" s="88">
        <v>100</v>
      </c>
      <c r="G147" s="120">
        <v>99.9</v>
      </c>
      <c r="H147" s="101">
        <v>26.9364</v>
      </c>
      <c r="I147" s="101">
        <v>4.4314</v>
      </c>
      <c r="J147" s="39">
        <v>0.05</v>
      </c>
      <c r="K147" s="39">
        <v>0.063</v>
      </c>
      <c r="L147" s="39">
        <v>0.036000000000000004</v>
      </c>
      <c r="M147" s="39">
        <v>0.025</v>
      </c>
      <c r="N147" s="36">
        <v>5</v>
      </c>
      <c r="O147" s="36">
        <v>6.3</v>
      </c>
      <c r="P147" s="36">
        <v>3.6000000000000005</v>
      </c>
      <c r="Q147" s="36">
        <v>2.5</v>
      </c>
      <c r="R147" s="39">
        <v>0.025</v>
      </c>
    </row>
    <row r="148" spans="1:18" ht="12.75">
      <c r="A148" s="85" t="s">
        <v>1067</v>
      </c>
      <c r="B148" s="86" t="s">
        <v>1068</v>
      </c>
      <c r="C148" s="87" t="str">
        <f t="shared" si="3"/>
        <v>4 lat/a od dnia zakupu</v>
      </c>
      <c r="D148" s="87">
        <v>40848</v>
      </c>
      <c r="E148" s="87">
        <v>40877</v>
      </c>
      <c r="F148" s="88">
        <v>100</v>
      </c>
      <c r="G148" s="120">
        <v>99.9</v>
      </c>
      <c r="H148" s="101">
        <v>29.047</v>
      </c>
      <c r="I148" s="101">
        <v>5.4114</v>
      </c>
      <c r="J148" s="39">
        <v>0.05</v>
      </c>
      <c r="K148" s="39">
        <v>0.063</v>
      </c>
      <c r="L148" s="39">
        <v>0.035</v>
      </c>
      <c r="M148" s="39">
        <v>0.025</v>
      </c>
      <c r="N148" s="36">
        <v>5</v>
      </c>
      <c r="O148" s="36">
        <v>6.3</v>
      </c>
      <c r="P148" s="36">
        <v>3.5000000000000004</v>
      </c>
      <c r="Q148" s="36">
        <v>2.5</v>
      </c>
      <c r="R148" s="39">
        <v>0.025</v>
      </c>
    </row>
    <row r="149" spans="1:256" s="25" customFormat="1" ht="12.75">
      <c r="A149" s="90" t="s">
        <v>1075</v>
      </c>
      <c r="B149" s="91" t="s">
        <v>1076</v>
      </c>
      <c r="C149" s="111" t="str">
        <f t="shared" si="3"/>
        <v>4 lat/a od dnia zakupu</v>
      </c>
      <c r="D149" s="111">
        <v>40878</v>
      </c>
      <c r="E149" s="111">
        <v>40908</v>
      </c>
      <c r="F149" s="112">
        <v>100</v>
      </c>
      <c r="G149" s="121">
        <v>99.9</v>
      </c>
      <c r="H149" s="106">
        <v>40.1552</v>
      </c>
      <c r="I149" s="106">
        <v>12.245</v>
      </c>
      <c r="J149" s="41">
        <v>0.05</v>
      </c>
      <c r="K149" s="41">
        <v>0.059000000000000004</v>
      </c>
      <c r="L149" s="41">
        <v>0.033</v>
      </c>
      <c r="M149" s="41">
        <v>0.025</v>
      </c>
      <c r="N149" s="38">
        <v>5</v>
      </c>
      <c r="O149" s="38">
        <v>5.9</v>
      </c>
      <c r="P149" s="38">
        <v>3.3000000000000003</v>
      </c>
      <c r="Q149" s="38">
        <v>2.5</v>
      </c>
      <c r="R149" s="41">
        <v>0.025</v>
      </c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3"/>
      <c r="IU149" s="13"/>
      <c r="IV149" s="13"/>
    </row>
    <row r="150" spans="1:18" ht="12.75">
      <c r="A150" s="113" t="s">
        <v>1081</v>
      </c>
      <c r="B150" s="114" t="s">
        <v>1082</v>
      </c>
      <c r="C150" s="115" t="str">
        <f t="shared" si="3"/>
        <v>4 lat/a od dnia zakupu</v>
      </c>
      <c r="D150" s="115">
        <v>40909</v>
      </c>
      <c r="E150" s="115">
        <v>40939</v>
      </c>
      <c r="F150" s="116">
        <v>100</v>
      </c>
      <c r="G150" s="117">
        <v>99.9</v>
      </c>
      <c r="H150" s="118">
        <v>46.2013</v>
      </c>
      <c r="I150" s="118">
        <v>28.3816</v>
      </c>
      <c r="J150" s="40">
        <v>0.05</v>
      </c>
      <c r="K150" s="40">
        <v>0.053</v>
      </c>
      <c r="L150" s="40">
        <v>0.031</v>
      </c>
      <c r="M150" s="40">
        <v>0.025</v>
      </c>
      <c r="N150" s="37">
        <v>5</v>
      </c>
      <c r="O150" s="37">
        <v>5.3</v>
      </c>
      <c r="P150" s="37">
        <v>3.1</v>
      </c>
      <c r="Q150" s="37">
        <v>2.5</v>
      </c>
      <c r="R150" s="40">
        <v>0.025</v>
      </c>
    </row>
    <row r="151" spans="1:18" ht="12.75">
      <c r="A151" s="85" t="s">
        <v>1088</v>
      </c>
      <c r="B151" s="86" t="s">
        <v>1089</v>
      </c>
      <c r="C151" s="109" t="str">
        <f t="shared" si="3"/>
        <v>4 lat/a od dnia zakupu</v>
      </c>
      <c r="D151" s="109">
        <v>40940</v>
      </c>
      <c r="E151" s="109">
        <v>40967</v>
      </c>
      <c r="F151" s="110">
        <v>100</v>
      </c>
      <c r="G151" s="119">
        <v>99.9</v>
      </c>
      <c r="H151" s="101">
        <v>39.7014</v>
      </c>
      <c r="I151" s="101">
        <v>10.8853</v>
      </c>
      <c r="J151" s="39">
        <v>0.0525</v>
      </c>
      <c r="K151" s="39">
        <v>0.049</v>
      </c>
      <c r="L151" s="39">
        <v>0.032</v>
      </c>
      <c r="M151" s="39">
        <v>0.025</v>
      </c>
      <c r="N151" s="36">
        <v>5.25</v>
      </c>
      <c r="O151" s="36">
        <v>4.9</v>
      </c>
      <c r="P151" s="36">
        <v>3.2</v>
      </c>
      <c r="Q151" s="36">
        <v>2.5</v>
      </c>
      <c r="R151" s="39">
        <v>0.025</v>
      </c>
    </row>
    <row r="152" spans="1:18" ht="12.75">
      <c r="A152" s="85" t="s">
        <v>1094</v>
      </c>
      <c r="B152" s="86" t="s">
        <v>1097</v>
      </c>
      <c r="C152" s="109" t="str">
        <f t="shared" si="3"/>
        <v>4 lat/a od dnia zakupu</v>
      </c>
      <c r="D152" s="109">
        <v>40969</v>
      </c>
      <c r="E152" s="109">
        <v>40999</v>
      </c>
      <c r="F152" s="110">
        <v>100</v>
      </c>
      <c r="G152" s="119">
        <v>99.9</v>
      </c>
      <c r="H152" s="101">
        <v>48.0124</v>
      </c>
      <c r="I152" s="101">
        <v>10.3872</v>
      </c>
      <c r="J152" s="39">
        <v>0.055</v>
      </c>
      <c r="K152" s="39">
        <v>0.0395</v>
      </c>
      <c r="L152" s="39">
        <v>0.0295</v>
      </c>
      <c r="M152" s="39">
        <v>0.0225</v>
      </c>
      <c r="N152" s="36">
        <v>5.5</v>
      </c>
      <c r="O152" s="36">
        <v>3.95</v>
      </c>
      <c r="P152" s="36">
        <v>2.9499999999999997</v>
      </c>
      <c r="Q152" s="36">
        <v>2.25</v>
      </c>
      <c r="R152" s="39">
        <v>0.0225</v>
      </c>
    </row>
    <row r="153" spans="1:18" ht="12.75">
      <c r="A153" s="85" t="s">
        <v>1101</v>
      </c>
      <c r="B153" s="86" t="s">
        <v>1102</v>
      </c>
      <c r="C153" s="109" t="str">
        <f t="shared" si="3"/>
        <v>4 lat/a od dnia zakupu</v>
      </c>
      <c r="D153" s="109">
        <v>41000</v>
      </c>
      <c r="E153" s="109">
        <v>41029</v>
      </c>
      <c r="F153" s="110">
        <v>100</v>
      </c>
      <c r="G153" s="119">
        <v>99.9</v>
      </c>
      <c r="H153" s="101">
        <v>52.9979</v>
      </c>
      <c r="I153" s="101">
        <v>17.567</v>
      </c>
      <c r="J153" s="39">
        <v>0.055</v>
      </c>
      <c r="K153" s="39">
        <v>0.035500000000000004</v>
      </c>
      <c r="L153" s="39">
        <v>0.0295</v>
      </c>
      <c r="M153" s="39">
        <v>0.0225</v>
      </c>
      <c r="N153" s="36">
        <v>5.5</v>
      </c>
      <c r="O153" s="36">
        <v>3.5500000000000003</v>
      </c>
      <c r="P153" s="36">
        <v>2.9499999999999997</v>
      </c>
      <c r="Q153" s="36">
        <v>2.25</v>
      </c>
      <c r="R153" s="39">
        <v>0.0225</v>
      </c>
    </row>
    <row r="154" spans="1:18" ht="12.75">
      <c r="A154" s="85" t="s">
        <v>1106</v>
      </c>
      <c r="B154" s="86" t="s">
        <v>1108</v>
      </c>
      <c r="C154" s="109" t="str">
        <f t="shared" si="3"/>
        <v>4 lat/a od dnia zakupu</v>
      </c>
      <c r="D154" s="109">
        <v>41030</v>
      </c>
      <c r="E154" s="109">
        <v>41060</v>
      </c>
      <c r="F154" s="110">
        <v>100</v>
      </c>
      <c r="G154" s="119">
        <v>99.9</v>
      </c>
      <c r="H154" s="101">
        <v>58.8915</v>
      </c>
      <c r="I154" s="101">
        <v>11.7077</v>
      </c>
      <c r="J154" s="39">
        <v>0.055</v>
      </c>
      <c r="K154" s="39">
        <v>0.0325</v>
      </c>
      <c r="L154" s="39">
        <v>0.0295</v>
      </c>
      <c r="M154" s="39">
        <v>0.0225</v>
      </c>
      <c r="N154" s="36">
        <v>5.5</v>
      </c>
      <c r="O154" s="36">
        <v>3.25</v>
      </c>
      <c r="P154" s="36">
        <v>2.9499999999999997</v>
      </c>
      <c r="Q154" s="36">
        <v>2.25</v>
      </c>
      <c r="R154" s="39">
        <v>0.0225</v>
      </c>
    </row>
    <row r="155" spans="1:18" ht="12.75">
      <c r="A155" s="85" t="s">
        <v>1117</v>
      </c>
      <c r="B155" s="86" t="s">
        <v>1118</v>
      </c>
      <c r="C155" s="109" t="str">
        <f t="shared" si="3"/>
        <v>4 lat/a od dnia zakupu</v>
      </c>
      <c r="D155" s="109">
        <v>41061</v>
      </c>
      <c r="E155" s="87">
        <v>41090</v>
      </c>
      <c r="F155" s="110">
        <v>100</v>
      </c>
      <c r="G155" s="119">
        <v>99.9</v>
      </c>
      <c r="H155" s="101">
        <v>39.2338</v>
      </c>
      <c r="I155" s="101">
        <v>13.6426</v>
      </c>
      <c r="J155" s="39">
        <v>0.055</v>
      </c>
      <c r="K155" s="39">
        <v>0.0305</v>
      </c>
      <c r="L155" s="39">
        <v>0.0255</v>
      </c>
      <c r="M155" s="39">
        <v>0.0225</v>
      </c>
      <c r="N155" s="36">
        <v>5.5</v>
      </c>
      <c r="O155" s="36">
        <v>3.05</v>
      </c>
      <c r="P155" s="36">
        <v>2.55</v>
      </c>
      <c r="Q155" s="36">
        <v>2.25</v>
      </c>
      <c r="R155" s="39">
        <v>0.0225</v>
      </c>
    </row>
    <row r="156" spans="1:18" ht="12.75">
      <c r="A156" s="85" t="s">
        <v>1124</v>
      </c>
      <c r="B156" s="86" t="s">
        <v>1125</v>
      </c>
      <c r="C156" s="87" t="str">
        <f t="shared" si="3"/>
        <v>4 lat/a od dnia zakupu</v>
      </c>
      <c r="D156" s="87">
        <v>41091</v>
      </c>
      <c r="E156" s="87">
        <v>41121</v>
      </c>
      <c r="F156" s="88">
        <v>100</v>
      </c>
      <c r="G156" s="120">
        <v>99.9</v>
      </c>
      <c r="H156" s="101">
        <v>81.0263</v>
      </c>
      <c r="I156" s="101">
        <v>30.4254</v>
      </c>
      <c r="J156" s="39">
        <v>0.055</v>
      </c>
      <c r="K156" s="39">
        <v>0.0275</v>
      </c>
      <c r="L156" s="39">
        <v>0.0245</v>
      </c>
      <c r="M156" s="39">
        <v>0.0225</v>
      </c>
      <c r="N156" s="36">
        <v>5.5</v>
      </c>
      <c r="O156" s="36">
        <v>2.75</v>
      </c>
      <c r="P156" s="36">
        <v>2.45</v>
      </c>
      <c r="Q156" s="36">
        <v>2.25</v>
      </c>
      <c r="R156" s="39">
        <v>0.0225</v>
      </c>
    </row>
    <row r="157" spans="1:18" ht="12.75">
      <c r="A157" s="85" t="s">
        <v>1133</v>
      </c>
      <c r="B157" s="86" t="s">
        <v>1134</v>
      </c>
      <c r="C157" s="87" t="str">
        <f t="shared" si="3"/>
        <v>4 lat/a od dnia zakupu</v>
      </c>
      <c r="D157" s="87">
        <v>41122</v>
      </c>
      <c r="E157" s="87">
        <v>41152</v>
      </c>
      <c r="F157" s="88">
        <v>100</v>
      </c>
      <c r="G157" s="120">
        <v>99.9</v>
      </c>
      <c r="H157" s="101">
        <v>74.4203</v>
      </c>
      <c r="I157" s="101">
        <v>33.302</v>
      </c>
      <c r="J157" s="39">
        <v>0.055</v>
      </c>
      <c r="K157" s="39">
        <v>0.0245</v>
      </c>
      <c r="L157" s="39">
        <v>0.0255</v>
      </c>
      <c r="M157" s="39">
        <v>0.0225</v>
      </c>
      <c r="N157" s="36">
        <v>5.5</v>
      </c>
      <c r="O157" s="36">
        <v>2.45</v>
      </c>
      <c r="P157" s="36">
        <v>2.55</v>
      </c>
      <c r="Q157" s="36">
        <v>2.25</v>
      </c>
      <c r="R157" s="39">
        <v>0.0225</v>
      </c>
    </row>
    <row r="158" spans="1:18" ht="12.75">
      <c r="A158" s="85" t="s">
        <v>1141</v>
      </c>
      <c r="B158" s="86" t="s">
        <v>1142</v>
      </c>
      <c r="C158" s="87" t="str">
        <f t="shared" si="3"/>
        <v>4 lat/a od dnia zakupu</v>
      </c>
      <c r="D158" s="87">
        <v>41153</v>
      </c>
      <c r="E158" s="87">
        <v>41182</v>
      </c>
      <c r="F158" s="88">
        <v>100</v>
      </c>
      <c r="G158" s="120">
        <v>99.9</v>
      </c>
      <c r="H158" s="101">
        <v>60.5169</v>
      </c>
      <c r="I158" s="101">
        <v>26.7963</v>
      </c>
      <c r="J158" s="39">
        <v>0.055</v>
      </c>
      <c r="K158" s="39">
        <v>0.0335</v>
      </c>
      <c r="L158" s="39">
        <v>0.0225</v>
      </c>
      <c r="M158" s="39">
        <v>0.0225</v>
      </c>
      <c r="N158" s="36">
        <v>5.5</v>
      </c>
      <c r="O158" s="36">
        <v>3.35</v>
      </c>
      <c r="P158" s="36">
        <v>2.25</v>
      </c>
      <c r="Q158" s="36">
        <v>2.25</v>
      </c>
      <c r="R158" s="39">
        <v>0.0225</v>
      </c>
    </row>
    <row r="159" spans="1:18" ht="12.75">
      <c r="A159" s="85" t="s">
        <v>1149</v>
      </c>
      <c r="B159" s="86" t="s">
        <v>1150</v>
      </c>
      <c r="C159" s="87" t="str">
        <f t="shared" si="3"/>
        <v>4 lat/a od dnia zakupu</v>
      </c>
      <c r="D159" s="87">
        <v>41183</v>
      </c>
      <c r="E159" s="87">
        <v>41213</v>
      </c>
      <c r="F159" s="88">
        <v>100</v>
      </c>
      <c r="G159" s="120">
        <v>99.9</v>
      </c>
      <c r="H159" s="101">
        <v>111.6284</v>
      </c>
      <c r="I159" s="101">
        <v>53.7744</v>
      </c>
      <c r="J159" s="39">
        <v>0.055</v>
      </c>
      <c r="K159" s="39">
        <v>0.031</v>
      </c>
      <c r="L159" s="39">
        <v>0.02</v>
      </c>
      <c r="M159" s="39">
        <v>0.02</v>
      </c>
      <c r="N159" s="36">
        <v>5.5</v>
      </c>
      <c r="O159" s="36">
        <v>3.1</v>
      </c>
      <c r="P159" s="36">
        <v>2</v>
      </c>
      <c r="Q159" s="36">
        <v>2</v>
      </c>
      <c r="R159" s="39">
        <v>0.02</v>
      </c>
    </row>
    <row r="160" spans="1:18" ht="12.75">
      <c r="A160" s="85" t="s">
        <v>1157</v>
      </c>
      <c r="B160" s="86" t="s">
        <v>1156</v>
      </c>
      <c r="C160" s="87" t="str">
        <f t="shared" si="3"/>
        <v>4 lat/a od dnia zakupu</v>
      </c>
      <c r="D160" s="87">
        <v>41214</v>
      </c>
      <c r="E160" s="87">
        <v>41243</v>
      </c>
      <c r="F160" s="88">
        <v>100</v>
      </c>
      <c r="G160" s="120">
        <v>99.9</v>
      </c>
      <c r="H160" s="101">
        <v>53.8939</v>
      </c>
      <c r="I160" s="101">
        <v>30.2003</v>
      </c>
      <c r="J160" s="39">
        <v>0.05</v>
      </c>
      <c r="K160" s="39">
        <v>0.027500000000000004</v>
      </c>
      <c r="L160" s="39">
        <v>0.0175</v>
      </c>
      <c r="M160" s="39">
        <v>0.0175</v>
      </c>
      <c r="N160" s="36">
        <v>5</v>
      </c>
      <c r="O160" s="36">
        <v>2.7500000000000004</v>
      </c>
      <c r="P160" s="36">
        <v>1.7500000000000002</v>
      </c>
      <c r="Q160" s="36">
        <v>1.7500000000000002</v>
      </c>
      <c r="R160" s="39">
        <v>0.0175</v>
      </c>
    </row>
    <row r="161" spans="1:256" s="25" customFormat="1" ht="12.75">
      <c r="A161" s="90" t="s">
        <v>1164</v>
      </c>
      <c r="B161" s="91" t="s">
        <v>1165</v>
      </c>
      <c r="C161" s="111" t="str">
        <f t="shared" si="3"/>
        <v>4 lat/a od dnia zakupu</v>
      </c>
      <c r="D161" s="111">
        <v>41244</v>
      </c>
      <c r="E161" s="111">
        <v>41274</v>
      </c>
      <c r="F161" s="112">
        <v>100</v>
      </c>
      <c r="G161" s="121">
        <v>99.9</v>
      </c>
      <c r="H161" s="106">
        <v>61.81</v>
      </c>
      <c r="I161" s="106">
        <v>31.2826</v>
      </c>
      <c r="J161" s="41">
        <v>0.05</v>
      </c>
      <c r="K161" s="41">
        <v>0.025500000000000002</v>
      </c>
      <c r="L161" s="41">
        <v>0.0175</v>
      </c>
      <c r="M161" s="41">
        <v>0.0175</v>
      </c>
      <c r="N161" s="38">
        <v>5</v>
      </c>
      <c r="O161" s="38">
        <v>2.5500000000000003</v>
      </c>
      <c r="P161" s="38">
        <v>1.7500000000000002</v>
      </c>
      <c r="Q161" s="38">
        <v>1.7500000000000002</v>
      </c>
      <c r="R161" s="41">
        <v>0.0175</v>
      </c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3"/>
      <c r="IU161" s="13"/>
      <c r="IV161" s="13"/>
    </row>
    <row r="162" spans="1:18" ht="12.75">
      <c r="A162" s="113" t="s">
        <v>1194</v>
      </c>
      <c r="B162" s="114" t="s">
        <v>1206</v>
      </c>
      <c r="C162" s="115" t="str">
        <f t="shared" si="3"/>
        <v>4 lat/a od dnia zakupu</v>
      </c>
      <c r="D162" s="115">
        <v>41275</v>
      </c>
      <c r="E162" s="115">
        <v>41305</v>
      </c>
      <c r="F162" s="116">
        <v>100</v>
      </c>
      <c r="G162" s="117">
        <v>99.9</v>
      </c>
      <c r="H162" s="118">
        <v>31.5715</v>
      </c>
      <c r="I162" s="118">
        <v>13.4155</v>
      </c>
      <c r="J162" s="40">
        <v>0.045</v>
      </c>
      <c r="K162" s="40">
        <v>0.020999999999999998</v>
      </c>
      <c r="L162" s="40">
        <v>0.015</v>
      </c>
      <c r="M162" s="40">
        <v>0.015</v>
      </c>
      <c r="N162" s="37">
        <v>4.5</v>
      </c>
      <c r="O162" s="37">
        <v>2.0999999999999996</v>
      </c>
      <c r="P162" s="37">
        <v>1.5</v>
      </c>
      <c r="Q162" s="37">
        <v>1.5</v>
      </c>
      <c r="R162" s="40">
        <v>0.015</v>
      </c>
    </row>
    <row r="163" spans="1:18" ht="12.75">
      <c r="A163" s="85" t="s">
        <v>1195</v>
      </c>
      <c r="B163" s="86" t="s">
        <v>1221</v>
      </c>
      <c r="C163" s="109" t="str">
        <f t="shared" si="3"/>
        <v>4 lat/a od dnia zakupu</v>
      </c>
      <c r="D163" s="109">
        <v>41306</v>
      </c>
      <c r="E163" s="109">
        <v>41333</v>
      </c>
      <c r="F163" s="110">
        <v>100</v>
      </c>
      <c r="G163" s="119">
        <v>99.9</v>
      </c>
      <c r="H163" s="101">
        <v>37.007</v>
      </c>
      <c r="I163" s="101">
        <v>17.5368</v>
      </c>
      <c r="J163" s="39">
        <v>0.045</v>
      </c>
      <c r="K163" s="39">
        <v>0.0195</v>
      </c>
      <c r="L163" s="39">
        <v>0.0125</v>
      </c>
      <c r="M163" s="39">
        <v>0.0125</v>
      </c>
      <c r="N163" s="36">
        <v>4.5</v>
      </c>
      <c r="O163" s="36">
        <v>1.95</v>
      </c>
      <c r="P163" s="36">
        <v>1.25</v>
      </c>
      <c r="Q163" s="36">
        <v>1.25</v>
      </c>
      <c r="R163" s="39">
        <v>0.0125</v>
      </c>
    </row>
    <row r="164" spans="1:18" ht="12.75">
      <c r="A164" s="85" t="s">
        <v>1196</v>
      </c>
      <c r="B164" s="86" t="s">
        <v>1226</v>
      </c>
      <c r="C164" s="109" t="str">
        <f t="shared" si="3"/>
        <v>4 lat/a od dnia zakupu</v>
      </c>
      <c r="D164" s="109">
        <v>41334</v>
      </c>
      <c r="E164" s="109">
        <v>41364</v>
      </c>
      <c r="F164" s="110">
        <v>100</v>
      </c>
      <c r="G164" s="119">
        <v>99.9</v>
      </c>
      <c r="H164" s="101">
        <v>66.0383</v>
      </c>
      <c r="I164" s="101">
        <v>36.8423</v>
      </c>
      <c r="J164" s="39">
        <v>0.045</v>
      </c>
      <c r="K164" s="39">
        <v>0.0195</v>
      </c>
      <c r="L164" s="39">
        <v>0.0125</v>
      </c>
      <c r="M164" s="39">
        <v>0.0125</v>
      </c>
      <c r="N164" s="36">
        <v>4.5</v>
      </c>
      <c r="O164" s="36">
        <v>1.95</v>
      </c>
      <c r="P164" s="36">
        <v>1.25</v>
      </c>
      <c r="Q164" s="36">
        <v>1.25</v>
      </c>
      <c r="R164" s="39">
        <v>0.0125</v>
      </c>
    </row>
    <row r="165" spans="1:18" ht="14.25">
      <c r="A165" s="85" t="s">
        <v>1197</v>
      </c>
      <c r="B165" s="86" t="s">
        <v>1230</v>
      </c>
      <c r="C165" s="109" t="str">
        <f t="shared" si="3"/>
        <v>4 lat/a od dnia zakupu</v>
      </c>
      <c r="D165" s="109">
        <v>41365</v>
      </c>
      <c r="E165" s="109">
        <v>41394</v>
      </c>
      <c r="F165" s="110">
        <v>100</v>
      </c>
      <c r="G165" s="119">
        <v>99.9</v>
      </c>
      <c r="H165" s="101">
        <v>80.1996</v>
      </c>
      <c r="I165" s="101">
        <v>27.1212</v>
      </c>
      <c r="J165" s="39">
        <v>0.045</v>
      </c>
      <c r="K165" s="39">
        <v>0.0195</v>
      </c>
      <c r="L165" s="39">
        <v>0.0125</v>
      </c>
      <c r="M165" s="39">
        <v>0.0125</v>
      </c>
      <c r="N165" s="36">
        <v>4.5</v>
      </c>
      <c r="O165" s="36">
        <v>1.95</v>
      </c>
      <c r="P165" s="36">
        <v>1.25</v>
      </c>
      <c r="Q165" s="36">
        <v>1.25</v>
      </c>
      <c r="R165" s="39">
        <v>0.0125</v>
      </c>
    </row>
    <row r="166" spans="1:18" ht="12.75">
      <c r="A166" s="85" t="s">
        <v>1198</v>
      </c>
      <c r="B166" s="86" t="s">
        <v>1234</v>
      </c>
      <c r="C166" s="109" t="str">
        <f t="shared" si="3"/>
        <v>4 lat/a od dnia zakupu</v>
      </c>
      <c r="D166" s="109">
        <v>41395</v>
      </c>
      <c r="E166" s="109">
        <v>41425</v>
      </c>
      <c r="F166" s="110">
        <v>100</v>
      </c>
      <c r="G166" s="119">
        <v>99.9</v>
      </c>
      <c r="H166" s="101">
        <v>30.27</v>
      </c>
      <c r="I166" s="101">
        <v>17.1804</v>
      </c>
      <c r="J166" s="39">
        <v>0.035</v>
      </c>
      <c r="K166" s="39">
        <v>0.0195</v>
      </c>
      <c r="L166" s="39">
        <v>0.0125</v>
      </c>
      <c r="M166" s="39">
        <v>0.0125</v>
      </c>
      <c r="N166" s="36">
        <v>3.5000000000000004</v>
      </c>
      <c r="O166" s="36">
        <v>1.95</v>
      </c>
      <c r="P166" s="36">
        <v>1.25</v>
      </c>
      <c r="Q166" s="36">
        <v>1.25</v>
      </c>
      <c r="R166" s="39">
        <v>0.0125</v>
      </c>
    </row>
    <row r="167" spans="1:18" ht="12.75">
      <c r="A167" s="85" t="s">
        <v>1199</v>
      </c>
      <c r="B167" s="86" t="s">
        <v>1238</v>
      </c>
      <c r="C167" s="109" t="str">
        <f t="shared" si="3"/>
        <v>4 lat/a od dnia zakupu</v>
      </c>
      <c r="D167" s="109">
        <v>41426</v>
      </c>
      <c r="E167" s="87">
        <v>41455</v>
      </c>
      <c r="F167" s="110">
        <v>100</v>
      </c>
      <c r="G167" s="119">
        <v>99.9</v>
      </c>
      <c r="H167" s="101">
        <v>46.0457</v>
      </c>
      <c r="I167" s="101">
        <v>26.4447</v>
      </c>
      <c r="J167" s="39">
        <v>0.035</v>
      </c>
      <c r="K167" s="39">
        <v>0.0155</v>
      </c>
      <c r="L167" s="39">
        <v>0.0125</v>
      </c>
      <c r="M167" s="39">
        <v>0.0125</v>
      </c>
      <c r="N167" s="36">
        <v>3.5000000000000004</v>
      </c>
      <c r="O167" s="36">
        <v>1.55</v>
      </c>
      <c r="P167" s="36">
        <v>1.25</v>
      </c>
      <c r="Q167" s="36">
        <v>1.25</v>
      </c>
      <c r="R167" s="39">
        <v>0.0125</v>
      </c>
    </row>
    <row r="168" spans="1:18" ht="12.75">
      <c r="A168" s="85" t="s">
        <v>1200</v>
      </c>
      <c r="B168" s="86" t="s">
        <v>1242</v>
      </c>
      <c r="C168" s="87" t="str">
        <f t="shared" si="3"/>
        <v>4 lat/a od dnia zakupu</v>
      </c>
      <c r="D168" s="87">
        <v>41456</v>
      </c>
      <c r="E168" s="87">
        <v>41486</v>
      </c>
      <c r="F168" s="88">
        <v>100</v>
      </c>
      <c r="G168" s="120">
        <v>99.9</v>
      </c>
      <c r="H168" s="101">
        <v>27.0615</v>
      </c>
      <c r="I168" s="101">
        <v>8.7474</v>
      </c>
      <c r="J168" s="39">
        <v>0.035</v>
      </c>
      <c r="K168" s="39">
        <v>0.0145</v>
      </c>
      <c r="L168" s="39">
        <v>0.0125</v>
      </c>
      <c r="M168" s="39">
        <v>0.0125</v>
      </c>
      <c r="N168" s="36">
        <v>3.5000000000000004</v>
      </c>
      <c r="O168" s="36">
        <v>1.4500000000000002</v>
      </c>
      <c r="P168" s="36">
        <v>1.25</v>
      </c>
      <c r="Q168" s="36">
        <v>1.25</v>
      </c>
      <c r="R168" s="39">
        <v>0.0125</v>
      </c>
    </row>
    <row r="169" spans="1:18" ht="12.75">
      <c r="A169" s="85" t="s">
        <v>1201</v>
      </c>
      <c r="B169" s="86" t="s">
        <v>1251</v>
      </c>
      <c r="C169" s="87" t="str">
        <f t="shared" si="3"/>
        <v>4 lat/a od dnia zakupu</v>
      </c>
      <c r="D169" s="87">
        <v>41487</v>
      </c>
      <c r="E169" s="87">
        <v>41517</v>
      </c>
      <c r="F169" s="88">
        <v>100</v>
      </c>
      <c r="G169" s="120">
        <v>99.9</v>
      </c>
      <c r="H169" s="101">
        <v>31.7512</v>
      </c>
      <c r="I169" s="101">
        <v>9.146</v>
      </c>
      <c r="J169" s="39">
        <v>0.035</v>
      </c>
      <c r="K169" s="39">
        <v>0.0155</v>
      </c>
      <c r="L169" s="39">
        <v>0.0125</v>
      </c>
      <c r="M169" s="39">
        <v>0.0125</v>
      </c>
      <c r="N169" s="36">
        <v>3.5000000000000004</v>
      </c>
      <c r="O169" s="36">
        <v>1.55</v>
      </c>
      <c r="P169" s="36">
        <v>1.25</v>
      </c>
      <c r="Q169" s="36">
        <v>1.25</v>
      </c>
      <c r="R169" s="39">
        <v>0.0125</v>
      </c>
    </row>
    <row r="170" spans="1:18" ht="12.75">
      <c r="A170" s="85" t="s">
        <v>1202</v>
      </c>
      <c r="B170" s="86" t="s">
        <v>1256</v>
      </c>
      <c r="C170" s="87" t="str">
        <f t="shared" si="3"/>
        <v>4 lat/a od dnia zakupu</v>
      </c>
      <c r="D170" s="87">
        <v>41518</v>
      </c>
      <c r="E170" s="87">
        <v>41547</v>
      </c>
      <c r="F170" s="88">
        <v>100</v>
      </c>
      <c r="G170" s="120">
        <v>99.9</v>
      </c>
      <c r="H170" s="101">
        <v>39.2139</v>
      </c>
      <c r="I170" s="101">
        <v>12.3513</v>
      </c>
      <c r="J170" s="39">
        <v>0.035</v>
      </c>
      <c r="K170" s="39">
        <v>0.0125</v>
      </c>
      <c r="L170" s="39">
        <v>0.0125</v>
      </c>
      <c r="M170" s="39">
        <v>0.0125</v>
      </c>
      <c r="N170" s="36">
        <v>3.5000000000000004</v>
      </c>
      <c r="O170" s="36">
        <v>1.25</v>
      </c>
      <c r="P170" s="36">
        <v>1.25</v>
      </c>
      <c r="Q170" s="36">
        <v>1.25</v>
      </c>
      <c r="R170" s="39">
        <v>0.0125</v>
      </c>
    </row>
    <row r="171" spans="1:18" ht="12.75">
      <c r="A171" s="85" t="s">
        <v>1203</v>
      </c>
      <c r="B171" s="86" t="s">
        <v>1260</v>
      </c>
      <c r="C171" s="87" t="str">
        <f t="shared" si="3"/>
        <v>4 lat/a od dnia zakupu</v>
      </c>
      <c r="D171" s="87">
        <v>41548</v>
      </c>
      <c r="E171" s="87">
        <v>41578</v>
      </c>
      <c r="F171" s="88">
        <v>100</v>
      </c>
      <c r="G171" s="120">
        <v>99.9</v>
      </c>
      <c r="H171" s="101">
        <v>32.3891</v>
      </c>
      <c r="I171" s="101">
        <v>8.3461</v>
      </c>
      <c r="J171" s="39">
        <v>0.035</v>
      </c>
      <c r="K171" s="39">
        <v>0.0125</v>
      </c>
      <c r="L171" s="39">
        <v>0.0125</v>
      </c>
      <c r="M171" s="39">
        <v>0.0125</v>
      </c>
      <c r="N171" s="36">
        <v>3.5000000000000004</v>
      </c>
      <c r="O171" s="36">
        <v>1.25</v>
      </c>
      <c r="P171" s="36">
        <v>1.25</v>
      </c>
      <c r="Q171" s="36">
        <v>1.25</v>
      </c>
      <c r="R171" s="39">
        <v>0.0125</v>
      </c>
    </row>
    <row r="172" spans="1:18" ht="12.75">
      <c r="A172" s="85" t="s">
        <v>1204</v>
      </c>
      <c r="B172" s="86" t="s">
        <v>1266</v>
      </c>
      <c r="C172" s="87" t="str">
        <f t="shared" si="3"/>
        <v>4 lat/a od dnia zakupu</v>
      </c>
      <c r="D172" s="87">
        <v>41579</v>
      </c>
      <c r="E172" s="87">
        <v>41608</v>
      </c>
      <c r="F172" s="88">
        <v>100</v>
      </c>
      <c r="G172" s="120">
        <v>99.9</v>
      </c>
      <c r="H172" s="101">
        <v>35.5812</v>
      </c>
      <c r="I172" s="101">
        <v>14.6186</v>
      </c>
      <c r="J172" s="39">
        <v>0.035</v>
      </c>
      <c r="K172" s="39">
        <v>0.0125</v>
      </c>
      <c r="L172" s="39">
        <v>0.0125</v>
      </c>
      <c r="M172" s="39">
        <v>0.0125</v>
      </c>
      <c r="N172" s="36">
        <v>3.5000000000000004</v>
      </c>
      <c r="O172" s="36">
        <v>1.25</v>
      </c>
      <c r="P172" s="36">
        <v>1.25</v>
      </c>
      <c r="Q172" s="36">
        <v>1.25</v>
      </c>
      <c r="R172" s="39">
        <v>0.0125</v>
      </c>
    </row>
    <row r="173" spans="1:18" ht="12.75">
      <c r="A173" s="90" t="s">
        <v>1205</v>
      </c>
      <c r="B173" s="91" t="s">
        <v>1267</v>
      </c>
      <c r="C173" s="111" t="str">
        <f t="shared" si="3"/>
        <v>4 lat/a od dnia zakupu</v>
      </c>
      <c r="D173" s="111">
        <v>41609</v>
      </c>
      <c r="E173" s="111">
        <v>41639</v>
      </c>
      <c r="F173" s="112">
        <v>100</v>
      </c>
      <c r="G173" s="121">
        <v>99.9</v>
      </c>
      <c r="H173" s="106">
        <v>34.758</v>
      </c>
      <c r="I173" s="106">
        <v>15.6395</v>
      </c>
      <c r="J173" s="41">
        <v>0.035</v>
      </c>
      <c r="K173" s="41">
        <v>0.0125</v>
      </c>
      <c r="L173" s="41">
        <v>0.0125</v>
      </c>
      <c r="M173" s="41">
        <v>0.0125</v>
      </c>
      <c r="N173" s="38">
        <v>3.5000000000000004</v>
      </c>
      <c r="O173" s="38">
        <v>1.25</v>
      </c>
      <c r="P173" s="38">
        <v>1.25</v>
      </c>
      <c r="Q173" s="38">
        <v>1.25</v>
      </c>
      <c r="R173" s="41">
        <v>0.0125</v>
      </c>
    </row>
    <row r="174" spans="1:18" ht="12.75">
      <c r="A174" s="113" t="s">
        <v>1273</v>
      </c>
      <c r="B174" s="114" t="s">
        <v>1276</v>
      </c>
      <c r="C174" s="115" t="str">
        <f t="shared" si="3"/>
        <v>4 lat/a od dnia zakupu</v>
      </c>
      <c r="D174" s="115">
        <v>41640</v>
      </c>
      <c r="E174" s="115">
        <v>41670</v>
      </c>
      <c r="F174" s="116">
        <v>100</v>
      </c>
      <c r="G174" s="117">
        <v>99.9</v>
      </c>
      <c r="H174" s="118">
        <v>32.9747</v>
      </c>
      <c r="I174" s="118">
        <v>12.0439</v>
      </c>
      <c r="J174" s="40">
        <v>0.035</v>
      </c>
      <c r="K174" s="40">
        <v>0.0125</v>
      </c>
      <c r="L174" s="40">
        <v>0.0125</v>
      </c>
      <c r="M174" s="40">
        <v>0.0125</v>
      </c>
      <c r="N174" s="37">
        <v>3.5000000000000004</v>
      </c>
      <c r="O174" s="37">
        <v>1.25</v>
      </c>
      <c r="P174" s="37">
        <v>1.25</v>
      </c>
      <c r="Q174" s="37">
        <v>1.25</v>
      </c>
      <c r="R174" s="40">
        <v>0.0125</v>
      </c>
    </row>
    <row r="175" spans="1:18" ht="12.75">
      <c r="A175" s="85" t="s">
        <v>1274</v>
      </c>
      <c r="B175" s="86" t="s">
        <v>1277</v>
      </c>
      <c r="C175" s="109" t="str">
        <f t="shared" si="3"/>
        <v>4 lat/a od dnia zakupu</v>
      </c>
      <c r="D175" s="109">
        <v>41671</v>
      </c>
      <c r="E175" s="109">
        <v>41698</v>
      </c>
      <c r="F175" s="110">
        <v>100</v>
      </c>
      <c r="G175" s="119">
        <v>99.9</v>
      </c>
      <c r="H175" s="101">
        <v>28.6816</v>
      </c>
      <c r="I175" s="101">
        <v>8.9254</v>
      </c>
      <c r="J175" s="39">
        <v>0.035</v>
      </c>
      <c r="K175" s="39">
        <v>0.0125</v>
      </c>
      <c r="L175" s="39">
        <v>0.0125</v>
      </c>
      <c r="M175" s="39">
        <v>0.0205</v>
      </c>
      <c r="N175" s="36">
        <v>3.5000000000000004</v>
      </c>
      <c r="O175" s="36">
        <v>1.25</v>
      </c>
      <c r="P175" s="36">
        <v>1.25</v>
      </c>
      <c r="Q175" s="36">
        <v>2.0500000000000003</v>
      </c>
      <c r="R175" s="39">
        <v>0.0125</v>
      </c>
    </row>
    <row r="176" spans="1:18" ht="12.75">
      <c r="A176" s="85" t="s">
        <v>1296</v>
      </c>
      <c r="B176" s="86" t="s">
        <v>1300</v>
      </c>
      <c r="C176" s="109" t="str">
        <f t="shared" si="3"/>
        <v>4 lat/a od dnia zakupu</v>
      </c>
      <c r="D176" s="109">
        <v>41699</v>
      </c>
      <c r="E176" s="109">
        <v>41729</v>
      </c>
      <c r="F176" s="110">
        <v>100</v>
      </c>
      <c r="G176" s="119">
        <v>99.9</v>
      </c>
      <c r="H176" s="101">
        <v>28.7244</v>
      </c>
      <c r="I176" s="101">
        <v>14.0933</v>
      </c>
      <c r="J176" s="39">
        <v>0.035</v>
      </c>
      <c r="K176" s="39">
        <v>0.0125</v>
      </c>
      <c r="L176" s="39">
        <v>0.0125</v>
      </c>
      <c r="M176" s="39">
        <v>0.030500000000000003</v>
      </c>
      <c r="N176" s="36">
        <v>3.5000000000000004</v>
      </c>
      <c r="O176" s="36">
        <v>1.25</v>
      </c>
      <c r="P176" s="36">
        <v>1.25</v>
      </c>
      <c r="Q176" s="36">
        <v>3.0500000000000003</v>
      </c>
      <c r="R176" s="39">
        <v>0.0125</v>
      </c>
    </row>
    <row r="177" spans="1:18" ht="12.75">
      <c r="A177" s="85" t="s">
        <v>1297</v>
      </c>
      <c r="B177" s="86" t="s">
        <v>1301</v>
      </c>
      <c r="C177" s="109" t="str">
        <f t="shared" si="3"/>
        <v>4 lat/a od dnia zakupu</v>
      </c>
      <c r="D177" s="109">
        <v>41730</v>
      </c>
      <c r="E177" s="109">
        <v>41759</v>
      </c>
      <c r="F177" s="110">
        <v>100</v>
      </c>
      <c r="G177" s="119">
        <v>99.9</v>
      </c>
      <c r="H177" s="101">
        <v>20.2569</v>
      </c>
      <c r="I177" s="101">
        <v>7.1368</v>
      </c>
      <c r="J177" s="39">
        <v>0.035</v>
      </c>
      <c r="K177" s="39">
        <v>0.0125</v>
      </c>
      <c r="L177" s="39">
        <v>0.0125</v>
      </c>
      <c r="M177" s="39">
        <v>0.0345</v>
      </c>
      <c r="N177" s="36">
        <v>3.5000000000000004</v>
      </c>
      <c r="O177" s="36">
        <v>1.25</v>
      </c>
      <c r="P177" s="36">
        <v>1.25</v>
      </c>
      <c r="Q177" s="36">
        <v>3.45</v>
      </c>
      <c r="R177" s="39">
        <v>0.0125</v>
      </c>
    </row>
    <row r="178" spans="1:18" ht="12.75">
      <c r="A178" s="85" t="s">
        <v>1312</v>
      </c>
      <c r="B178" s="86" t="s">
        <v>1314</v>
      </c>
      <c r="C178" s="109" t="str">
        <f t="shared" si="3"/>
        <v>4 lat/a od dnia zakupu</v>
      </c>
      <c r="D178" s="109">
        <v>41760</v>
      </c>
      <c r="E178" s="109">
        <v>41790</v>
      </c>
      <c r="F178" s="110">
        <v>100</v>
      </c>
      <c r="G178" s="119">
        <v>99.9</v>
      </c>
      <c r="H178" s="101">
        <v>31.7124</v>
      </c>
      <c r="I178" s="101">
        <v>5.0036</v>
      </c>
      <c r="J178" s="39">
        <v>0.035</v>
      </c>
      <c r="K178" s="39">
        <v>0.0125</v>
      </c>
      <c r="L178" s="39">
        <v>0.0125</v>
      </c>
      <c r="M178" s="39">
        <f>R178+2%</f>
        <v>0.0325</v>
      </c>
      <c r="N178" s="36">
        <v>3.5000000000000004</v>
      </c>
      <c r="O178" s="36">
        <v>1.25</v>
      </c>
      <c r="P178" s="36">
        <v>1.25</v>
      </c>
      <c r="Q178" s="36">
        <f aca="true" t="shared" si="4" ref="Q178:Q184">M178*100</f>
        <v>3.25</v>
      </c>
      <c r="R178" s="39">
        <v>0.0125</v>
      </c>
    </row>
    <row r="179" spans="1:18" ht="12.75">
      <c r="A179" s="85" t="s">
        <v>1318</v>
      </c>
      <c r="B179" s="86" t="s">
        <v>1319</v>
      </c>
      <c r="C179" s="109" t="str">
        <f t="shared" si="3"/>
        <v>4 lat/a od dnia zakupu</v>
      </c>
      <c r="D179" s="109">
        <v>41791</v>
      </c>
      <c r="E179" s="87">
        <v>41820</v>
      </c>
      <c r="F179" s="110">
        <v>100</v>
      </c>
      <c r="G179" s="119">
        <v>99.9</v>
      </c>
      <c r="H179" s="101">
        <v>20.0375</v>
      </c>
      <c r="I179" s="101">
        <v>7.2874</v>
      </c>
      <c r="J179" s="39">
        <v>0.035</v>
      </c>
      <c r="K179" s="39">
        <v>0.0125</v>
      </c>
      <c r="L179" s="39">
        <v>0.0125</v>
      </c>
      <c r="M179" s="39">
        <f>R179+2%</f>
        <v>0.0325</v>
      </c>
      <c r="N179" s="36">
        <v>3.5000000000000004</v>
      </c>
      <c r="O179" s="36">
        <v>1.25</v>
      </c>
      <c r="P179" s="36">
        <v>1.25</v>
      </c>
      <c r="Q179" s="36">
        <f t="shared" si="4"/>
        <v>3.25</v>
      </c>
      <c r="R179" s="39">
        <v>0.0125</v>
      </c>
    </row>
    <row r="180" spans="1:256" s="26" customFormat="1" ht="12.75">
      <c r="A180" s="85" t="s">
        <v>1328</v>
      </c>
      <c r="B180" s="86" t="s">
        <v>1329</v>
      </c>
      <c r="C180" s="87" t="str">
        <f t="shared" si="3"/>
        <v>4 lat/a od dnia zakupu</v>
      </c>
      <c r="D180" s="87">
        <v>41821</v>
      </c>
      <c r="E180" s="87">
        <v>41851</v>
      </c>
      <c r="F180" s="88">
        <v>100</v>
      </c>
      <c r="G180" s="120">
        <v>99.9</v>
      </c>
      <c r="H180" s="101">
        <v>17.8775</v>
      </c>
      <c r="I180" s="101">
        <v>6.2378</v>
      </c>
      <c r="J180" s="39">
        <v>0.035</v>
      </c>
      <c r="K180" s="39">
        <v>0.0125</v>
      </c>
      <c r="L180" s="39">
        <v>0.0125</v>
      </c>
      <c r="M180" s="39">
        <f>R180+1.9%</f>
        <v>0.0315</v>
      </c>
      <c r="N180" s="36">
        <v>3.5000000000000004</v>
      </c>
      <c r="O180" s="36">
        <v>1.25</v>
      </c>
      <c r="P180" s="36">
        <v>1.25</v>
      </c>
      <c r="Q180" s="36">
        <f t="shared" si="4"/>
        <v>3.15</v>
      </c>
      <c r="R180" s="39">
        <v>0.0125</v>
      </c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50"/>
      <c r="IU180" s="50"/>
      <c r="IV180" s="50"/>
    </row>
    <row r="181" spans="1:256" s="26" customFormat="1" ht="12.75">
      <c r="A181" s="85" t="s">
        <v>1336</v>
      </c>
      <c r="B181" s="86" t="s">
        <v>1337</v>
      </c>
      <c r="C181" s="87" t="str">
        <f t="shared" si="3"/>
        <v>4 lat/a od dnia zakupu</v>
      </c>
      <c r="D181" s="87">
        <v>41852</v>
      </c>
      <c r="E181" s="87">
        <v>41882</v>
      </c>
      <c r="F181" s="88">
        <v>100</v>
      </c>
      <c r="G181" s="120">
        <v>99.9</v>
      </c>
      <c r="H181" s="101">
        <v>35.5689</v>
      </c>
      <c r="I181" s="101">
        <v>11.2896</v>
      </c>
      <c r="J181" s="39">
        <v>0.035</v>
      </c>
      <c r="K181" s="39">
        <v>0.0125</v>
      </c>
      <c r="L181" s="39">
        <v>0.0125</v>
      </c>
      <c r="M181" s="39">
        <f>R181+1.5%</f>
        <v>0.0275</v>
      </c>
      <c r="N181" s="36">
        <v>3.5000000000000004</v>
      </c>
      <c r="O181" s="36">
        <v>1.25</v>
      </c>
      <c r="P181" s="36">
        <v>1.25</v>
      </c>
      <c r="Q181" s="36">
        <f t="shared" si="4"/>
        <v>2.75</v>
      </c>
      <c r="R181" s="39">
        <v>0.0125</v>
      </c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50"/>
      <c r="IU181" s="50"/>
      <c r="IV181" s="50"/>
    </row>
    <row r="182" spans="1:256" s="26" customFormat="1" ht="12.75">
      <c r="A182" s="85" t="s">
        <v>1344</v>
      </c>
      <c r="B182" s="86" t="s">
        <v>1345</v>
      </c>
      <c r="C182" s="87" t="str">
        <f t="shared" si="3"/>
        <v>4 lat/a od dnia zakupu</v>
      </c>
      <c r="D182" s="87">
        <v>41883</v>
      </c>
      <c r="E182" s="87">
        <v>41912</v>
      </c>
      <c r="F182" s="88">
        <v>100</v>
      </c>
      <c r="G182" s="120">
        <v>99.6</v>
      </c>
      <c r="H182" s="101">
        <v>25.7273</v>
      </c>
      <c r="I182" s="101">
        <v>8.583</v>
      </c>
      <c r="J182" s="39">
        <v>0.031</v>
      </c>
      <c r="K182" s="39">
        <v>0.0125</v>
      </c>
      <c r="L182" s="39">
        <v>0.0125</v>
      </c>
      <c r="M182" s="39">
        <f>R182+1.7%</f>
        <v>0.029500000000000002</v>
      </c>
      <c r="N182" s="36">
        <v>3.1</v>
      </c>
      <c r="O182" s="36">
        <v>1.25</v>
      </c>
      <c r="P182" s="36">
        <v>1.25</v>
      </c>
      <c r="Q182" s="36">
        <f t="shared" si="4"/>
        <v>2.95</v>
      </c>
      <c r="R182" s="39">
        <v>0.0125</v>
      </c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50"/>
      <c r="IU182" s="50"/>
      <c r="IV182" s="50"/>
    </row>
    <row r="183" spans="1:256" s="26" customFormat="1" ht="12.75">
      <c r="A183" s="85" t="s">
        <v>1352</v>
      </c>
      <c r="B183" s="86" t="s">
        <v>1353</v>
      </c>
      <c r="C183" s="87" t="str">
        <f t="shared" si="3"/>
        <v>4 lat/a od dnia zakupu</v>
      </c>
      <c r="D183" s="87">
        <v>41913</v>
      </c>
      <c r="E183" s="87">
        <v>41943</v>
      </c>
      <c r="F183" s="88">
        <v>100</v>
      </c>
      <c r="G183" s="120">
        <v>99.9</v>
      </c>
      <c r="H183" s="101">
        <v>12.49</v>
      </c>
      <c r="I183" s="101">
        <v>5.3901</v>
      </c>
      <c r="J183" s="39">
        <v>0.028</v>
      </c>
      <c r="K183" s="39">
        <v>0.0125</v>
      </c>
      <c r="L183" s="39">
        <v>0.0125</v>
      </c>
      <c r="M183" s="39">
        <f>R183+1.8%</f>
        <v>0.030500000000000003</v>
      </c>
      <c r="N183" s="36">
        <v>2.8000000000000003</v>
      </c>
      <c r="O183" s="36">
        <v>1.25</v>
      </c>
      <c r="P183" s="36">
        <v>1.25</v>
      </c>
      <c r="Q183" s="36">
        <f t="shared" si="4"/>
        <v>3.0500000000000003</v>
      </c>
      <c r="R183" s="39">
        <v>0.0125</v>
      </c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50"/>
      <c r="IU183" s="50"/>
      <c r="IV183" s="50"/>
    </row>
    <row r="184" spans="1:18" ht="12.75">
      <c r="A184" s="85" t="s">
        <v>1363</v>
      </c>
      <c r="B184" s="86" t="s">
        <v>1365</v>
      </c>
      <c r="C184" s="87" t="str">
        <f t="shared" si="3"/>
        <v>4 lat/a od dnia zakupu</v>
      </c>
      <c r="D184" s="87">
        <v>41944</v>
      </c>
      <c r="E184" s="87">
        <v>41973</v>
      </c>
      <c r="F184" s="88">
        <v>100</v>
      </c>
      <c r="G184" s="120">
        <v>99.9</v>
      </c>
      <c r="H184" s="101">
        <v>20.8669</v>
      </c>
      <c r="I184" s="101">
        <v>10.0782</v>
      </c>
      <c r="J184" s="39">
        <v>0.026</v>
      </c>
      <c r="K184" s="39">
        <v>0.0125</v>
      </c>
      <c r="L184" s="39">
        <v>0.0125</v>
      </c>
      <c r="M184" s="39">
        <f>R184+2.2%</f>
        <v>0.0345</v>
      </c>
      <c r="N184" s="36">
        <v>2.6</v>
      </c>
      <c r="O184" s="36">
        <v>1.25</v>
      </c>
      <c r="P184" s="36">
        <v>1.25</v>
      </c>
      <c r="Q184" s="36">
        <f t="shared" si="4"/>
        <v>3.45</v>
      </c>
      <c r="R184" s="39">
        <v>0.0125</v>
      </c>
    </row>
    <row r="185" spans="1:18" ht="12.75">
      <c r="A185" s="90" t="s">
        <v>1364</v>
      </c>
      <c r="B185" s="91" t="s">
        <v>1366</v>
      </c>
      <c r="C185" s="111" t="str">
        <f t="shared" si="3"/>
        <v>4 lat/a od dnia zakupu</v>
      </c>
      <c r="D185" s="111">
        <v>41974</v>
      </c>
      <c r="E185" s="111">
        <v>42004</v>
      </c>
      <c r="F185" s="112">
        <v>100</v>
      </c>
      <c r="G185" s="121">
        <v>99.9</v>
      </c>
      <c r="H185" s="106">
        <v>27.6805</v>
      </c>
      <c r="I185" s="106">
        <v>18.0466</v>
      </c>
      <c r="J185" s="41">
        <v>0.026</v>
      </c>
      <c r="K185" s="41">
        <v>0.0125</v>
      </c>
      <c r="L185" s="41">
        <v>0.0125</v>
      </c>
      <c r="M185" s="41">
        <f>R185+2.1%</f>
        <v>0.0335</v>
      </c>
      <c r="N185" s="38">
        <v>2.6</v>
      </c>
      <c r="O185" s="38">
        <v>1.25</v>
      </c>
      <c r="P185" s="38">
        <v>1.25</v>
      </c>
      <c r="Q185" s="38">
        <f aca="true" t="shared" si="5" ref="Q185:Q197">M185*100</f>
        <v>3.35</v>
      </c>
      <c r="R185" s="41">
        <v>0.0125</v>
      </c>
    </row>
    <row r="186" spans="1:18" ht="12.75">
      <c r="A186" s="113" t="s">
        <v>1375</v>
      </c>
      <c r="B186" s="114" t="s">
        <v>1376</v>
      </c>
      <c r="C186" s="115" t="str">
        <f t="shared" si="3"/>
        <v>4 lat/a od dnia zakupu</v>
      </c>
      <c r="D186" s="115">
        <v>42005</v>
      </c>
      <c r="E186" s="115">
        <v>42035</v>
      </c>
      <c r="F186" s="116">
        <v>100</v>
      </c>
      <c r="G186" s="117">
        <v>99.9</v>
      </c>
      <c r="H186" s="118">
        <v>12.0363</v>
      </c>
      <c r="I186" s="118">
        <v>2.6473</v>
      </c>
      <c r="J186" s="40">
        <v>0.026</v>
      </c>
      <c r="K186" s="40">
        <v>0.0125</v>
      </c>
      <c r="L186" s="40">
        <v>0.0125</v>
      </c>
      <c r="M186" s="40">
        <f>R186+2.5%</f>
        <v>0.037500000000000006</v>
      </c>
      <c r="N186" s="37">
        <v>2.6</v>
      </c>
      <c r="O186" s="37">
        <v>1.25</v>
      </c>
      <c r="P186" s="37">
        <v>1.25</v>
      </c>
      <c r="Q186" s="37">
        <f t="shared" si="5"/>
        <v>3.7500000000000004</v>
      </c>
      <c r="R186" s="40">
        <v>0.0125</v>
      </c>
    </row>
    <row r="187" spans="1:18" ht="12.75">
      <c r="A187" s="85" t="s">
        <v>1383</v>
      </c>
      <c r="B187" s="86" t="s">
        <v>1384</v>
      </c>
      <c r="C187" s="109" t="str">
        <f t="shared" si="3"/>
        <v>4 lat/a od dnia zakupu</v>
      </c>
      <c r="D187" s="109">
        <v>42036</v>
      </c>
      <c r="E187" s="109">
        <v>42063</v>
      </c>
      <c r="F187" s="110">
        <v>100</v>
      </c>
      <c r="G187" s="119">
        <v>99.9</v>
      </c>
      <c r="H187" s="101">
        <v>27.2695</v>
      </c>
      <c r="I187" s="101">
        <v>11.2459</v>
      </c>
      <c r="J187" s="39">
        <v>0.026</v>
      </c>
      <c r="K187" s="39">
        <v>0.0125</v>
      </c>
      <c r="L187" s="39">
        <v>0.0205</v>
      </c>
      <c r="M187" s="39">
        <f>R187+2.1%</f>
        <v>0.0335</v>
      </c>
      <c r="N187" s="36">
        <v>2.6</v>
      </c>
      <c r="O187" s="36">
        <v>1.25</v>
      </c>
      <c r="P187" s="36">
        <v>2.0500000000000003</v>
      </c>
      <c r="Q187" s="36">
        <f t="shared" si="5"/>
        <v>3.35</v>
      </c>
      <c r="R187" s="39">
        <v>0.0125</v>
      </c>
    </row>
    <row r="188" spans="1:18" ht="12.75">
      <c r="A188" s="85" t="s">
        <v>1394</v>
      </c>
      <c r="B188" s="86" t="s">
        <v>1395</v>
      </c>
      <c r="C188" s="87" t="str">
        <f t="shared" si="3"/>
        <v>4 lat/a od dnia zakupu</v>
      </c>
      <c r="D188" s="87">
        <v>42064</v>
      </c>
      <c r="E188" s="87">
        <v>42094</v>
      </c>
      <c r="F188" s="88">
        <v>100</v>
      </c>
      <c r="G188" s="120">
        <v>99.9</v>
      </c>
      <c r="H188" s="89">
        <v>18.4621</v>
      </c>
      <c r="I188" s="89">
        <v>9.139</v>
      </c>
      <c r="J188" s="39">
        <v>0.026</v>
      </c>
      <c r="K188" s="39">
        <v>0.0125</v>
      </c>
      <c r="L188" s="39">
        <v>0.030500000000000003</v>
      </c>
      <c r="M188" s="39">
        <f>R188+1.9%</f>
        <v>0.0315</v>
      </c>
      <c r="N188" s="36">
        <v>2.6</v>
      </c>
      <c r="O188" s="36">
        <v>1.25</v>
      </c>
      <c r="P188" s="36">
        <v>3.0500000000000003</v>
      </c>
      <c r="Q188" s="36">
        <f t="shared" si="5"/>
        <v>3.15</v>
      </c>
      <c r="R188" s="39">
        <v>0.0125</v>
      </c>
    </row>
    <row r="189" spans="1:256" s="26" customFormat="1" ht="12.75">
      <c r="A189" s="85" t="s">
        <v>1407</v>
      </c>
      <c r="B189" s="86" t="s">
        <v>1408</v>
      </c>
      <c r="C189" s="87" t="str">
        <f t="shared" si="3"/>
        <v>4 lat/a od dnia zakupu</v>
      </c>
      <c r="D189" s="87">
        <v>42095</v>
      </c>
      <c r="E189" s="87">
        <v>42124</v>
      </c>
      <c r="F189" s="88">
        <v>100</v>
      </c>
      <c r="G189" s="120">
        <v>99.9</v>
      </c>
      <c r="H189" s="89">
        <v>14.409</v>
      </c>
      <c r="I189" s="89">
        <v>7.7838</v>
      </c>
      <c r="J189" s="39">
        <v>0.023</v>
      </c>
      <c r="K189" s="39">
        <v>0.0125</v>
      </c>
      <c r="L189" s="39">
        <v>0.0345</v>
      </c>
      <c r="M189" s="39">
        <f>R189+1.4%</f>
        <v>0.0265</v>
      </c>
      <c r="N189" s="36">
        <v>2.3</v>
      </c>
      <c r="O189" s="36">
        <v>1.25</v>
      </c>
      <c r="P189" s="36">
        <v>3.45</v>
      </c>
      <c r="Q189" s="36">
        <f t="shared" si="5"/>
        <v>2.65</v>
      </c>
      <c r="R189" s="39">
        <v>0.0125</v>
      </c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50"/>
      <c r="IU189" s="50"/>
      <c r="IV189" s="50"/>
    </row>
    <row r="190" spans="1:256" s="26" customFormat="1" ht="12.75">
      <c r="A190" s="85" t="s">
        <v>1415</v>
      </c>
      <c r="B190" s="86" t="s">
        <v>1416</v>
      </c>
      <c r="C190" s="87" t="str">
        <f t="shared" si="3"/>
        <v>4 lat/a od dnia zakupu</v>
      </c>
      <c r="D190" s="87">
        <v>42125</v>
      </c>
      <c r="E190" s="87">
        <v>42155</v>
      </c>
      <c r="F190" s="88">
        <v>100</v>
      </c>
      <c r="G190" s="120">
        <v>99.9</v>
      </c>
      <c r="H190" s="89">
        <v>38.3183</v>
      </c>
      <c r="I190" s="89">
        <v>21.7093</v>
      </c>
      <c r="J190" s="39">
        <v>0.023</v>
      </c>
      <c r="K190" s="39">
        <v>0.0125</v>
      </c>
      <c r="L190" s="39">
        <f>R190+2%</f>
        <v>0.0325</v>
      </c>
      <c r="M190" s="39">
        <f>R190+1.3%</f>
        <v>0.025500000000000002</v>
      </c>
      <c r="N190" s="36">
        <v>2.3</v>
      </c>
      <c r="O190" s="36">
        <v>1.25</v>
      </c>
      <c r="P190" s="36">
        <f aca="true" t="shared" si="6" ref="P190:P209">L190*100</f>
        <v>3.25</v>
      </c>
      <c r="Q190" s="36">
        <f t="shared" si="5"/>
        <v>2.5500000000000003</v>
      </c>
      <c r="R190" s="39">
        <v>0.0125</v>
      </c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50"/>
      <c r="IU190" s="50"/>
      <c r="IV190" s="50"/>
    </row>
    <row r="191" spans="1:18" ht="12.75">
      <c r="A191" s="85" t="s">
        <v>1423</v>
      </c>
      <c r="B191" s="86" t="s">
        <v>1433</v>
      </c>
      <c r="C191" s="87" t="str">
        <f t="shared" si="3"/>
        <v>4 lat/a od dnia zakupu</v>
      </c>
      <c r="D191" s="87">
        <v>42156</v>
      </c>
      <c r="E191" s="87">
        <v>42185</v>
      </c>
      <c r="F191" s="88">
        <v>100</v>
      </c>
      <c r="G191" s="120">
        <v>99.9</v>
      </c>
      <c r="H191" s="89">
        <v>17.6711</v>
      </c>
      <c r="I191" s="89">
        <v>6.9205</v>
      </c>
      <c r="J191" s="39">
        <v>0.023</v>
      </c>
      <c r="K191" s="39">
        <v>0.0125</v>
      </c>
      <c r="L191" s="39">
        <f>R191+2%</f>
        <v>0.0325</v>
      </c>
      <c r="M191" s="39">
        <f>R191+1.6%</f>
        <v>0.0285</v>
      </c>
      <c r="N191" s="36">
        <v>2.3</v>
      </c>
      <c r="O191" s="36">
        <v>1.25</v>
      </c>
      <c r="P191" s="36">
        <f t="shared" si="6"/>
        <v>3.25</v>
      </c>
      <c r="Q191" s="36">
        <f t="shared" si="5"/>
        <v>2.85</v>
      </c>
      <c r="R191" s="39">
        <v>0.0125</v>
      </c>
    </row>
    <row r="192" spans="1:256" s="26" customFormat="1" ht="12.75">
      <c r="A192" s="85" t="s">
        <v>1429</v>
      </c>
      <c r="B192" s="86" t="s">
        <v>1424</v>
      </c>
      <c r="C192" s="87" t="str">
        <f t="shared" si="3"/>
        <v>4 lat/a od dnia zakupu</v>
      </c>
      <c r="D192" s="87">
        <v>42186</v>
      </c>
      <c r="E192" s="87">
        <v>42216</v>
      </c>
      <c r="F192" s="88">
        <v>100</v>
      </c>
      <c r="G192" s="120">
        <v>99.9</v>
      </c>
      <c r="H192" s="89">
        <v>23.1569</v>
      </c>
      <c r="I192" s="89">
        <v>9.9833</v>
      </c>
      <c r="J192" s="39">
        <v>0.023</v>
      </c>
      <c r="K192" s="39">
        <v>0.0125</v>
      </c>
      <c r="L192" s="39">
        <f>R192+1.9%</f>
        <v>0.0315</v>
      </c>
      <c r="M192" s="39">
        <f>R192+1.7%</f>
        <v>0.029500000000000002</v>
      </c>
      <c r="N192" s="36">
        <v>2.3</v>
      </c>
      <c r="O192" s="36">
        <v>1.25</v>
      </c>
      <c r="P192" s="36">
        <f t="shared" si="6"/>
        <v>3.15</v>
      </c>
      <c r="Q192" s="36">
        <f t="shared" si="5"/>
        <v>2.95</v>
      </c>
      <c r="R192" s="39">
        <v>0.0125</v>
      </c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50"/>
      <c r="IU192" s="50"/>
      <c r="IV192" s="50"/>
    </row>
    <row r="193" spans="1:256" s="26" customFormat="1" ht="12.75">
      <c r="A193" s="85" t="s">
        <v>1436</v>
      </c>
      <c r="B193" s="86" t="s">
        <v>1441</v>
      </c>
      <c r="C193" s="87" t="str">
        <f t="shared" si="3"/>
        <v>4 lat/a od dnia zakupu</v>
      </c>
      <c r="D193" s="87">
        <v>42217</v>
      </c>
      <c r="E193" s="87">
        <v>42247</v>
      </c>
      <c r="F193" s="88">
        <v>100</v>
      </c>
      <c r="G193" s="120">
        <v>99.9</v>
      </c>
      <c r="H193" s="89">
        <v>31.9801</v>
      </c>
      <c r="I193" s="89">
        <v>19.2724</v>
      </c>
      <c r="J193" s="39">
        <v>0.023</v>
      </c>
      <c r="K193" s="39">
        <v>0.0125</v>
      </c>
      <c r="L193" s="39">
        <f>R193+1.5%</f>
        <v>0.0275</v>
      </c>
      <c r="M193" s="39">
        <f>R193+2%</f>
        <v>0.0325</v>
      </c>
      <c r="N193" s="36">
        <v>2.3</v>
      </c>
      <c r="O193" s="36">
        <v>1.25</v>
      </c>
      <c r="P193" s="36">
        <f t="shared" si="6"/>
        <v>2.75</v>
      </c>
      <c r="Q193" s="36">
        <f t="shared" si="5"/>
        <v>3.25</v>
      </c>
      <c r="R193" s="39">
        <v>0.0125</v>
      </c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50"/>
      <c r="IU193" s="50"/>
      <c r="IV193" s="50"/>
    </row>
    <row r="194" spans="1:256" s="26" customFormat="1" ht="12.75">
      <c r="A194" s="85" t="s">
        <v>1445</v>
      </c>
      <c r="B194" s="86" t="s">
        <v>1449</v>
      </c>
      <c r="C194" s="87" t="str">
        <f t="shared" si="3"/>
        <v>4 lat/a od dnia zakupu</v>
      </c>
      <c r="D194" s="87">
        <v>42248</v>
      </c>
      <c r="E194" s="87">
        <v>42277</v>
      </c>
      <c r="F194" s="88">
        <v>100</v>
      </c>
      <c r="G194" s="120">
        <v>99.9</v>
      </c>
      <c r="H194" s="89">
        <v>25.0997</v>
      </c>
      <c r="I194" s="89">
        <v>7.3802</v>
      </c>
      <c r="J194" s="39">
        <v>0.023</v>
      </c>
      <c r="K194" s="39">
        <v>0.0125</v>
      </c>
      <c r="L194" s="39">
        <f>R194+1.7%</f>
        <v>0.029500000000000002</v>
      </c>
      <c r="M194" s="39">
        <f>R194+2%</f>
        <v>0.0325</v>
      </c>
      <c r="N194" s="36">
        <v>2.3</v>
      </c>
      <c r="O194" s="36">
        <v>1.25</v>
      </c>
      <c r="P194" s="36">
        <f t="shared" si="6"/>
        <v>2.95</v>
      </c>
      <c r="Q194" s="36">
        <f t="shared" si="5"/>
        <v>3.25</v>
      </c>
      <c r="R194" s="39">
        <v>0.0125</v>
      </c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50"/>
      <c r="IU194" s="50"/>
      <c r="IV194" s="50"/>
    </row>
    <row r="195" spans="1:256" s="26" customFormat="1" ht="12.75">
      <c r="A195" s="85" t="s">
        <v>1456</v>
      </c>
      <c r="B195" s="86" t="s">
        <v>1457</v>
      </c>
      <c r="C195" s="87" t="str">
        <f t="shared" si="3"/>
        <v>4 lat/a od dnia zakupu</v>
      </c>
      <c r="D195" s="87">
        <v>42278</v>
      </c>
      <c r="E195" s="87">
        <v>42308</v>
      </c>
      <c r="F195" s="88">
        <v>100</v>
      </c>
      <c r="G195" s="120">
        <v>99.9</v>
      </c>
      <c r="H195" s="89">
        <v>26.8437</v>
      </c>
      <c r="I195" s="89">
        <v>12.7197</v>
      </c>
      <c r="J195" s="39">
        <v>0.023</v>
      </c>
      <c r="K195" s="39">
        <v>0.0125</v>
      </c>
      <c r="L195" s="39">
        <f>R195+1.8%</f>
        <v>0.030500000000000003</v>
      </c>
      <c r="M195" s="39">
        <f>$R195+2%</f>
        <v>0.0325</v>
      </c>
      <c r="N195" s="36">
        <v>2.3</v>
      </c>
      <c r="O195" s="36">
        <v>1.25</v>
      </c>
      <c r="P195" s="36">
        <f t="shared" si="6"/>
        <v>3.0500000000000003</v>
      </c>
      <c r="Q195" s="36">
        <f t="shared" si="5"/>
        <v>3.25</v>
      </c>
      <c r="R195" s="39">
        <v>0.0125</v>
      </c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50"/>
      <c r="IU195" s="50"/>
      <c r="IV195" s="50"/>
    </row>
    <row r="196" spans="1:256" s="29" customFormat="1" ht="12.75">
      <c r="A196" s="85" t="s">
        <v>1467</v>
      </c>
      <c r="B196" s="86" t="s">
        <v>1468</v>
      </c>
      <c r="C196" s="87" t="str">
        <f t="shared" si="3"/>
        <v>4 lat/a od dnia zakupu</v>
      </c>
      <c r="D196" s="87">
        <v>42309</v>
      </c>
      <c r="E196" s="87">
        <v>42338</v>
      </c>
      <c r="F196" s="88">
        <v>100</v>
      </c>
      <c r="G196" s="120">
        <v>99.9</v>
      </c>
      <c r="H196" s="89">
        <v>29.1612</v>
      </c>
      <c r="I196" s="89">
        <v>15.595</v>
      </c>
      <c r="J196" s="39">
        <v>0.023</v>
      </c>
      <c r="K196" s="39">
        <v>0.0125</v>
      </c>
      <c r="L196" s="39">
        <f>R196+2.2%</f>
        <v>0.0345</v>
      </c>
      <c r="M196" s="39">
        <f>$R196+1.9%</f>
        <v>0.0315</v>
      </c>
      <c r="N196" s="36">
        <v>2.3</v>
      </c>
      <c r="O196" s="36">
        <v>1.25</v>
      </c>
      <c r="P196" s="36">
        <f t="shared" si="6"/>
        <v>3.45</v>
      </c>
      <c r="Q196" s="36">
        <f t="shared" si="5"/>
        <v>3.15</v>
      </c>
      <c r="R196" s="39">
        <v>0.0125</v>
      </c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51"/>
      <c r="IU196" s="51"/>
      <c r="IV196" s="51"/>
    </row>
    <row r="197" spans="1:18" ht="12.75">
      <c r="A197" s="90" t="s">
        <v>1471</v>
      </c>
      <c r="B197" s="91" t="s">
        <v>1477</v>
      </c>
      <c r="C197" s="111" t="str">
        <f t="shared" si="3"/>
        <v>4 lat/a od dnia zakupu</v>
      </c>
      <c r="D197" s="111">
        <v>42339</v>
      </c>
      <c r="E197" s="111">
        <v>42369</v>
      </c>
      <c r="F197" s="112">
        <v>100</v>
      </c>
      <c r="G197" s="121">
        <v>99.9</v>
      </c>
      <c r="H197" s="106">
        <v>24.1219</v>
      </c>
      <c r="I197" s="106">
        <v>13.2243</v>
      </c>
      <c r="J197" s="41">
        <v>0.023</v>
      </c>
      <c r="K197" s="41">
        <v>0.0125</v>
      </c>
      <c r="L197" s="41">
        <f>R197+2.1%</f>
        <v>0.0335</v>
      </c>
      <c r="M197" s="41">
        <f>$R197+1.8%</f>
        <v>0.030500000000000003</v>
      </c>
      <c r="N197" s="38">
        <v>2.3</v>
      </c>
      <c r="O197" s="38">
        <v>1.25</v>
      </c>
      <c r="P197" s="38">
        <f t="shared" si="6"/>
        <v>3.35</v>
      </c>
      <c r="Q197" s="38">
        <f t="shared" si="5"/>
        <v>3.0500000000000003</v>
      </c>
      <c r="R197" s="41">
        <v>0.0125</v>
      </c>
    </row>
    <row r="198" spans="1:18" ht="12.75">
      <c r="A198" s="113" t="s">
        <v>1483</v>
      </c>
      <c r="B198" s="114" t="s">
        <v>1484</v>
      </c>
      <c r="C198" s="115" t="str">
        <f t="shared" si="3"/>
        <v>4 lat/a od dnia zakupu</v>
      </c>
      <c r="D198" s="115">
        <v>42370</v>
      </c>
      <c r="E198" s="115">
        <v>42400</v>
      </c>
      <c r="F198" s="116">
        <v>100</v>
      </c>
      <c r="G198" s="117">
        <v>99.9</v>
      </c>
      <c r="H198" s="118">
        <v>35.6662</v>
      </c>
      <c r="I198" s="118">
        <v>13.1117</v>
      </c>
      <c r="J198" s="40">
        <v>0.023</v>
      </c>
      <c r="K198" s="40">
        <v>0.0125</v>
      </c>
      <c r="L198" s="40">
        <f>$R198+2.5%</f>
        <v>0.037500000000000006</v>
      </c>
      <c r="M198" s="40">
        <f>$R198+1.3%</f>
        <v>0.025500000000000002</v>
      </c>
      <c r="N198" s="37">
        <v>2.3</v>
      </c>
      <c r="O198" s="37">
        <v>1.25</v>
      </c>
      <c r="P198" s="37">
        <f t="shared" si="6"/>
        <v>3.7500000000000004</v>
      </c>
      <c r="Q198" s="37">
        <f aca="true" t="shared" si="7" ref="Q198:Q261">M198*100</f>
        <v>2.5500000000000003</v>
      </c>
      <c r="R198" s="40">
        <v>0.0125</v>
      </c>
    </row>
    <row r="199" spans="1:18" ht="12.75">
      <c r="A199" s="85" t="s">
        <v>1491</v>
      </c>
      <c r="B199" s="86" t="s">
        <v>1492</v>
      </c>
      <c r="C199" s="87" t="str">
        <f t="shared" si="3"/>
        <v>4 lat/a od dnia zakupu</v>
      </c>
      <c r="D199" s="87">
        <v>42401</v>
      </c>
      <c r="E199" s="87">
        <v>42428</v>
      </c>
      <c r="F199" s="88">
        <v>100</v>
      </c>
      <c r="G199" s="120">
        <v>99.6</v>
      </c>
      <c r="H199" s="89">
        <v>44.514</v>
      </c>
      <c r="I199" s="89">
        <v>18.6247</v>
      </c>
      <c r="J199" s="39">
        <v>0.023</v>
      </c>
      <c r="K199" s="39">
        <v>0.0205</v>
      </c>
      <c r="L199" s="39">
        <f>R199+2.1%</f>
        <v>0.0335</v>
      </c>
      <c r="M199" s="39">
        <f>$R199+1.1%</f>
        <v>0.0235</v>
      </c>
      <c r="N199" s="36">
        <v>2.3</v>
      </c>
      <c r="O199" s="36">
        <v>2.0500000000000003</v>
      </c>
      <c r="P199" s="36">
        <f t="shared" si="6"/>
        <v>3.35</v>
      </c>
      <c r="Q199" s="36">
        <f t="shared" si="7"/>
        <v>2.35</v>
      </c>
      <c r="R199" s="39">
        <v>0.0125</v>
      </c>
    </row>
    <row r="200" spans="1:18" ht="12.75">
      <c r="A200" s="85" t="s">
        <v>1499</v>
      </c>
      <c r="B200" s="86" t="s">
        <v>1500</v>
      </c>
      <c r="C200" s="87" t="str">
        <f t="shared" si="3"/>
        <v>4 lat/a od dnia zakupu</v>
      </c>
      <c r="D200" s="87">
        <v>42430</v>
      </c>
      <c r="E200" s="87">
        <v>42460</v>
      </c>
      <c r="F200" s="88">
        <v>100</v>
      </c>
      <c r="G200" s="120">
        <v>99.9</v>
      </c>
      <c r="H200" s="89">
        <v>38.441</v>
      </c>
      <c r="I200" s="89">
        <v>17.6709</v>
      </c>
      <c r="J200" s="39">
        <v>0.023</v>
      </c>
      <c r="K200" s="39">
        <v>0.030500000000000003</v>
      </c>
      <c r="L200" s="39">
        <f>R200+1.9%</f>
        <v>0.0315</v>
      </c>
      <c r="M200" s="39">
        <f>$R200+0.9%</f>
        <v>0.021500000000000002</v>
      </c>
      <c r="N200" s="36">
        <v>2.3</v>
      </c>
      <c r="O200" s="36">
        <v>3.0500000000000003</v>
      </c>
      <c r="P200" s="36">
        <f t="shared" si="6"/>
        <v>3.15</v>
      </c>
      <c r="Q200" s="36">
        <f t="shared" si="7"/>
        <v>2.1500000000000004</v>
      </c>
      <c r="R200" s="39">
        <v>0.0125</v>
      </c>
    </row>
    <row r="201" spans="1:18" ht="12.75">
      <c r="A201" s="85" t="s">
        <v>1507</v>
      </c>
      <c r="B201" s="86" t="s">
        <v>1508</v>
      </c>
      <c r="C201" s="87" t="str">
        <f t="shared" si="3"/>
        <v>4 lat/a od dnia zakupu</v>
      </c>
      <c r="D201" s="87">
        <v>42461</v>
      </c>
      <c r="E201" s="87">
        <v>42490</v>
      </c>
      <c r="F201" s="88">
        <v>100</v>
      </c>
      <c r="G201" s="120">
        <v>99.9</v>
      </c>
      <c r="H201" s="89">
        <v>42.8561</v>
      </c>
      <c r="I201" s="89">
        <v>17.2773</v>
      </c>
      <c r="J201" s="39">
        <v>0.023</v>
      </c>
      <c r="K201" s="39">
        <v>0.0345</v>
      </c>
      <c r="L201" s="39">
        <f>R201+1.4%</f>
        <v>0.0265</v>
      </c>
      <c r="M201" s="39">
        <f>$R201+1.2%</f>
        <v>0.0245</v>
      </c>
      <c r="N201" s="36">
        <v>2.3</v>
      </c>
      <c r="O201" s="36">
        <v>3.45</v>
      </c>
      <c r="P201" s="36">
        <f t="shared" si="6"/>
        <v>2.65</v>
      </c>
      <c r="Q201" s="36">
        <f t="shared" si="7"/>
        <v>2.45</v>
      </c>
      <c r="R201" s="39">
        <v>0.0125</v>
      </c>
    </row>
    <row r="202" spans="1:18" ht="12.75">
      <c r="A202" s="85" t="s">
        <v>1513</v>
      </c>
      <c r="B202" s="86" t="s">
        <v>1517</v>
      </c>
      <c r="C202" s="87" t="str">
        <f t="shared" si="3"/>
        <v>4 lat/a od dnia zakupu</v>
      </c>
      <c r="D202" s="87">
        <v>42491</v>
      </c>
      <c r="E202" s="87">
        <v>42521</v>
      </c>
      <c r="F202" s="88">
        <v>100</v>
      </c>
      <c r="G202" s="120">
        <v>99.9</v>
      </c>
      <c r="H202" s="89">
        <v>37.9972</v>
      </c>
      <c r="I202" s="89">
        <v>23.9595</v>
      </c>
      <c r="J202" s="39">
        <v>0.023</v>
      </c>
      <c r="K202" s="39">
        <f>R202+2%</f>
        <v>0.0325</v>
      </c>
      <c r="L202" s="39">
        <f>R202+1.3%</f>
        <v>0.025500000000000002</v>
      </c>
      <c r="M202" s="39">
        <f>$R202+1.7%</f>
        <v>0.029500000000000002</v>
      </c>
      <c r="N202" s="36">
        <v>2.3</v>
      </c>
      <c r="O202" s="36">
        <f aca="true" t="shared" si="8" ref="O202:O209">K202*100</f>
        <v>3.25</v>
      </c>
      <c r="P202" s="36">
        <f t="shared" si="6"/>
        <v>2.5500000000000003</v>
      </c>
      <c r="Q202" s="36">
        <f t="shared" si="7"/>
        <v>2.95</v>
      </c>
      <c r="R202" s="39">
        <v>0.0125</v>
      </c>
    </row>
    <row r="203" spans="1:18" ht="12.75">
      <c r="A203" s="85" t="s">
        <v>1523</v>
      </c>
      <c r="B203" s="86" t="s">
        <v>1524</v>
      </c>
      <c r="C203" s="87" t="str">
        <f t="shared" si="3"/>
        <v>4 lat/a od dnia zakupu</v>
      </c>
      <c r="D203" s="87">
        <v>42522</v>
      </c>
      <c r="E203" s="87">
        <v>42551</v>
      </c>
      <c r="F203" s="88">
        <v>100</v>
      </c>
      <c r="G203" s="120">
        <v>99.9</v>
      </c>
      <c r="H203" s="89">
        <v>31.746</v>
      </c>
      <c r="I203" s="89">
        <v>15.5358</v>
      </c>
      <c r="J203" s="39">
        <v>0.023</v>
      </c>
      <c r="K203" s="39">
        <f>R203+2%</f>
        <v>0.0325</v>
      </c>
      <c r="L203" s="39">
        <f>R203+1.6%</f>
        <v>0.0285</v>
      </c>
      <c r="M203" s="39">
        <f>$R203+2.2%</f>
        <v>0.0345</v>
      </c>
      <c r="N203" s="36">
        <v>2.3</v>
      </c>
      <c r="O203" s="36">
        <f t="shared" si="8"/>
        <v>3.25</v>
      </c>
      <c r="P203" s="36">
        <f t="shared" si="6"/>
        <v>2.85</v>
      </c>
      <c r="Q203" s="36">
        <f t="shared" si="7"/>
        <v>3.45</v>
      </c>
      <c r="R203" s="39">
        <v>0.0125</v>
      </c>
    </row>
    <row r="204" spans="1:18" ht="12.75">
      <c r="A204" s="85" t="s">
        <v>1531</v>
      </c>
      <c r="B204" s="86" t="s">
        <v>1532</v>
      </c>
      <c r="C204" s="87" t="str">
        <f t="shared" si="3"/>
        <v>4 lat/a od dnia zakupu</v>
      </c>
      <c r="D204" s="87">
        <v>42552</v>
      </c>
      <c r="E204" s="87">
        <v>42582</v>
      </c>
      <c r="F204" s="88">
        <v>100</v>
      </c>
      <c r="G204" s="120">
        <v>99.9</v>
      </c>
      <c r="H204" s="89">
        <v>37.3448</v>
      </c>
      <c r="I204" s="89">
        <v>19.3562</v>
      </c>
      <c r="J204" s="39">
        <v>0.023</v>
      </c>
      <c r="K204" s="39">
        <f>R204+1.9%</f>
        <v>0.0315</v>
      </c>
      <c r="L204" s="39">
        <f>R204+1.7%</f>
        <v>0.029500000000000002</v>
      </c>
      <c r="M204" s="39">
        <f>$R204+2.4%</f>
        <v>0.036500000000000005</v>
      </c>
      <c r="N204" s="36">
        <v>2.3</v>
      </c>
      <c r="O204" s="36">
        <f t="shared" si="8"/>
        <v>3.15</v>
      </c>
      <c r="P204" s="36">
        <f t="shared" si="6"/>
        <v>2.95</v>
      </c>
      <c r="Q204" s="36">
        <f t="shared" si="7"/>
        <v>3.6500000000000004</v>
      </c>
      <c r="R204" s="39">
        <v>0.0125</v>
      </c>
    </row>
    <row r="205" spans="1:18" ht="12.75">
      <c r="A205" s="85" t="s">
        <v>1537</v>
      </c>
      <c r="B205" s="86" t="s">
        <v>1541</v>
      </c>
      <c r="C205" s="87" t="str">
        <f t="shared" si="3"/>
        <v>4 lat/a od dnia zakupu</v>
      </c>
      <c r="D205" s="87">
        <v>42583</v>
      </c>
      <c r="E205" s="87">
        <v>42613</v>
      </c>
      <c r="F205" s="88">
        <v>100</v>
      </c>
      <c r="G205" s="120">
        <v>99.9</v>
      </c>
      <c r="H205" s="89">
        <v>47.4611</v>
      </c>
      <c r="I205" s="89">
        <v>25.4403</v>
      </c>
      <c r="J205" s="39">
        <v>0.023</v>
      </c>
      <c r="K205" s="39">
        <f>R205+1.5%</f>
        <v>0.0275</v>
      </c>
      <c r="L205" s="39">
        <f>R205+2%</f>
        <v>0.0325</v>
      </c>
      <c r="M205" s="39">
        <f>$R205+2.6%</f>
        <v>0.038500000000000006</v>
      </c>
      <c r="N205" s="36">
        <v>2.3</v>
      </c>
      <c r="O205" s="36">
        <f t="shared" si="8"/>
        <v>2.75</v>
      </c>
      <c r="P205" s="36">
        <f t="shared" si="6"/>
        <v>3.25</v>
      </c>
      <c r="Q205" s="36">
        <f t="shared" si="7"/>
        <v>3.8500000000000005</v>
      </c>
      <c r="R205" s="39">
        <v>0.0125</v>
      </c>
    </row>
    <row r="206" spans="1:18" ht="12.75">
      <c r="A206" s="85" t="s">
        <v>1547</v>
      </c>
      <c r="B206" s="86" t="s">
        <v>1548</v>
      </c>
      <c r="C206" s="87" t="str">
        <f t="shared" si="3"/>
        <v>4 lat/a od dnia zakupu</v>
      </c>
      <c r="D206" s="87">
        <v>42614</v>
      </c>
      <c r="E206" s="87">
        <v>42643</v>
      </c>
      <c r="F206" s="88">
        <v>100</v>
      </c>
      <c r="G206" s="120">
        <v>99.9</v>
      </c>
      <c r="H206" s="89">
        <v>44.9997</v>
      </c>
      <c r="I206" s="89">
        <v>25.2688</v>
      </c>
      <c r="J206" s="39">
        <v>0.023</v>
      </c>
      <c r="K206" s="39">
        <f>R206+1.7%</f>
        <v>0.029500000000000002</v>
      </c>
      <c r="L206" s="39">
        <f>R206+2%</f>
        <v>0.0325</v>
      </c>
      <c r="M206" s="39">
        <f>$R206+2.9%</f>
        <v>0.041499999999999995</v>
      </c>
      <c r="N206" s="36">
        <v>2.3</v>
      </c>
      <c r="O206" s="36">
        <f t="shared" si="8"/>
        <v>2.95</v>
      </c>
      <c r="P206" s="36">
        <f t="shared" si="6"/>
        <v>3.25</v>
      </c>
      <c r="Q206" s="36">
        <f t="shared" si="7"/>
        <v>4.1499999999999995</v>
      </c>
      <c r="R206" s="39">
        <v>0.0125</v>
      </c>
    </row>
    <row r="207" spans="1:18" ht="12.75">
      <c r="A207" s="85" t="s">
        <v>1552</v>
      </c>
      <c r="B207" s="86" t="s">
        <v>1553</v>
      </c>
      <c r="C207" s="87" t="str">
        <f t="shared" si="3"/>
        <v>4 lat/a od dnia zakupu</v>
      </c>
      <c r="D207" s="87">
        <v>42644</v>
      </c>
      <c r="E207" s="87">
        <v>42674</v>
      </c>
      <c r="F207" s="88">
        <v>100</v>
      </c>
      <c r="G207" s="120">
        <v>99.7</v>
      </c>
      <c r="H207" s="89">
        <v>118.786</v>
      </c>
      <c r="I207" s="89">
        <v>91.05</v>
      </c>
      <c r="J207" s="39">
        <v>0.023</v>
      </c>
      <c r="K207" s="39">
        <f>R207+1.8%</f>
        <v>0.030500000000000003</v>
      </c>
      <c r="L207" s="39">
        <f>$R207+2%</f>
        <v>0.0325</v>
      </c>
      <c r="M207" s="39">
        <f>$R207+2.9%</f>
        <v>0.041499999999999995</v>
      </c>
      <c r="N207" s="36">
        <v>2.3</v>
      </c>
      <c r="O207" s="36">
        <f t="shared" si="8"/>
        <v>3.0500000000000003</v>
      </c>
      <c r="P207" s="36">
        <f t="shared" si="6"/>
        <v>3.25</v>
      </c>
      <c r="Q207" s="36">
        <f t="shared" si="7"/>
        <v>4.1499999999999995</v>
      </c>
      <c r="R207" s="39">
        <v>0.0125</v>
      </c>
    </row>
    <row r="208" spans="1:18" ht="12.75">
      <c r="A208" s="85" t="s">
        <v>1568</v>
      </c>
      <c r="B208" s="86" t="s">
        <v>1569</v>
      </c>
      <c r="C208" s="87" t="str">
        <f t="shared" si="3"/>
        <v>4 lat/a od dnia zakupu</v>
      </c>
      <c r="D208" s="87">
        <v>42675</v>
      </c>
      <c r="E208" s="87">
        <v>42704</v>
      </c>
      <c r="F208" s="88">
        <v>100</v>
      </c>
      <c r="G208" s="120">
        <v>99.9</v>
      </c>
      <c r="H208" s="89">
        <v>54.2036</v>
      </c>
      <c r="I208" s="89">
        <v>27.142</v>
      </c>
      <c r="J208" s="39">
        <v>0.023</v>
      </c>
      <c r="K208" s="39">
        <f>R208+2.2%</f>
        <v>0.0345</v>
      </c>
      <c r="L208" s="39">
        <f>$R208+1.9%</f>
        <v>0.0315</v>
      </c>
      <c r="M208" s="39">
        <f>$R208+2.6%</f>
        <v>0.038500000000000006</v>
      </c>
      <c r="N208" s="36">
        <v>2.3</v>
      </c>
      <c r="O208" s="36">
        <f t="shared" si="8"/>
        <v>3.45</v>
      </c>
      <c r="P208" s="36">
        <f t="shared" si="6"/>
        <v>3.15</v>
      </c>
      <c r="Q208" s="36">
        <f t="shared" si="7"/>
        <v>3.8500000000000005</v>
      </c>
      <c r="R208" s="39">
        <v>0.0125</v>
      </c>
    </row>
    <row r="209" spans="1:18" ht="12.75">
      <c r="A209" s="90" t="s">
        <v>1580</v>
      </c>
      <c r="B209" s="91" t="s">
        <v>1581</v>
      </c>
      <c r="C209" s="111" t="str">
        <f t="shared" si="3"/>
        <v>4 lat/a od dnia zakupu</v>
      </c>
      <c r="D209" s="111">
        <v>42705</v>
      </c>
      <c r="E209" s="111">
        <v>42735</v>
      </c>
      <c r="F209" s="112">
        <v>100</v>
      </c>
      <c r="G209" s="121">
        <v>99.9</v>
      </c>
      <c r="H209" s="106">
        <v>59.8679</v>
      </c>
      <c r="I209" s="106">
        <v>31.4168</v>
      </c>
      <c r="J209" s="41">
        <v>0.024</v>
      </c>
      <c r="K209" s="41">
        <f>R209+2.1%</f>
        <v>0.0335</v>
      </c>
      <c r="L209" s="41">
        <f>$R209+1.8%</f>
        <v>0.030500000000000003</v>
      </c>
      <c r="M209" s="41">
        <f>$R209+2.5%</f>
        <v>0.037500000000000006</v>
      </c>
      <c r="N209" s="38">
        <v>2.4</v>
      </c>
      <c r="O209" s="38">
        <f t="shared" si="8"/>
        <v>3.35</v>
      </c>
      <c r="P209" s="38">
        <f t="shared" si="6"/>
        <v>3.0500000000000003</v>
      </c>
      <c r="Q209" s="38">
        <f t="shared" si="7"/>
        <v>3.7500000000000004</v>
      </c>
      <c r="R209" s="41">
        <v>0.0125</v>
      </c>
    </row>
    <row r="210" spans="1:18" ht="12.75">
      <c r="A210" s="113" t="s">
        <v>1592</v>
      </c>
      <c r="B210" s="114" t="s">
        <v>1593</v>
      </c>
      <c r="C210" s="115" t="str">
        <f t="shared" si="3"/>
        <v>4 lat/a od dnia zakupu</v>
      </c>
      <c r="D210" s="115">
        <v>42736</v>
      </c>
      <c r="E210" s="115">
        <v>42766</v>
      </c>
      <c r="F210" s="116">
        <v>100</v>
      </c>
      <c r="G210" s="117">
        <v>99.9</v>
      </c>
      <c r="H210" s="118">
        <v>139.1285</v>
      </c>
      <c r="I210" s="118">
        <v>13.6496</v>
      </c>
      <c r="J210" s="40">
        <v>0.024</v>
      </c>
      <c r="K210" s="40">
        <f>$R210+2.5%</f>
        <v>0.037500000000000006</v>
      </c>
      <c r="L210" s="40">
        <f>$R210+1.3%</f>
        <v>0.025500000000000002</v>
      </c>
      <c r="M210" s="40">
        <f>$R210+2.6%</f>
        <v>0.038500000000000006</v>
      </c>
      <c r="N210" s="37">
        <v>2.4</v>
      </c>
      <c r="O210" s="37">
        <f aca="true" t="shared" si="9" ref="O210:O220">K210*100</f>
        <v>3.7500000000000004</v>
      </c>
      <c r="P210" s="37">
        <f aca="true" t="shared" si="10" ref="P210:Q253">L210*100</f>
        <v>2.5500000000000003</v>
      </c>
      <c r="Q210" s="37">
        <f t="shared" si="7"/>
        <v>3.8500000000000005</v>
      </c>
      <c r="R210" s="40">
        <v>0.0125</v>
      </c>
    </row>
    <row r="211" spans="1:18" ht="12.75">
      <c r="A211" s="85" t="s">
        <v>1603</v>
      </c>
      <c r="B211" s="86" t="s">
        <v>1604</v>
      </c>
      <c r="C211" s="87" t="str">
        <f t="shared" si="3"/>
        <v>4 lat/a od dnia zakupu</v>
      </c>
      <c r="D211" s="87">
        <v>42767</v>
      </c>
      <c r="E211" s="87">
        <v>42794</v>
      </c>
      <c r="F211" s="88">
        <v>100</v>
      </c>
      <c r="G211" s="120">
        <v>99.9</v>
      </c>
      <c r="H211" s="89">
        <v>166.961</v>
      </c>
      <c r="I211" s="89">
        <v>13.763</v>
      </c>
      <c r="J211" s="39">
        <v>0.024</v>
      </c>
      <c r="K211" s="39">
        <f>R211+2.1%</f>
        <v>0.0335</v>
      </c>
      <c r="L211" s="39">
        <f>$R211+1.1%</f>
        <v>0.0235</v>
      </c>
      <c r="M211" s="39">
        <f>$R211+3.4%</f>
        <v>0.0465</v>
      </c>
      <c r="N211" s="36">
        <v>2.4</v>
      </c>
      <c r="O211" s="36">
        <f t="shared" si="9"/>
        <v>3.35</v>
      </c>
      <c r="P211" s="36">
        <f t="shared" si="10"/>
        <v>2.35</v>
      </c>
      <c r="Q211" s="36">
        <f t="shared" si="7"/>
        <v>4.65</v>
      </c>
      <c r="R211" s="39">
        <v>0.0125</v>
      </c>
    </row>
    <row r="212" spans="1:18" ht="12.75">
      <c r="A212" s="85" t="s">
        <v>1613</v>
      </c>
      <c r="B212" s="86" t="s">
        <v>1612</v>
      </c>
      <c r="C212" s="87" t="str">
        <f t="shared" si="3"/>
        <v>4 lat/a od dnia zakupu</v>
      </c>
      <c r="D212" s="87">
        <v>42795</v>
      </c>
      <c r="E212" s="87">
        <v>42825</v>
      </c>
      <c r="F212" s="88">
        <v>100</v>
      </c>
      <c r="G212" s="120">
        <v>99.9</v>
      </c>
      <c r="H212" s="89">
        <v>215.3785</v>
      </c>
      <c r="I212" s="89">
        <v>24.8583</v>
      </c>
      <c r="J212" s="39">
        <v>0.024</v>
      </c>
      <c r="K212" s="39">
        <f>R212+1.9%</f>
        <v>0.0315</v>
      </c>
      <c r="L212" s="39">
        <f>$R212+0.9%</f>
        <v>0.021500000000000002</v>
      </c>
      <c r="M212" s="39">
        <f>$R212+4.4%</f>
        <v>0.05650000000000001</v>
      </c>
      <c r="N212" s="36">
        <v>2.4</v>
      </c>
      <c r="O212" s="36">
        <f t="shared" si="9"/>
        <v>3.15</v>
      </c>
      <c r="P212" s="36">
        <f t="shared" si="10"/>
        <v>2.1500000000000004</v>
      </c>
      <c r="Q212" s="36">
        <f t="shared" si="7"/>
        <v>5.650000000000001</v>
      </c>
      <c r="R212" s="39">
        <v>0.0125</v>
      </c>
    </row>
    <row r="213" spans="1:18" ht="12.75">
      <c r="A213" s="85" t="s">
        <v>1651</v>
      </c>
      <c r="B213" s="86" t="s">
        <v>1652</v>
      </c>
      <c r="C213" s="87" t="str">
        <f t="shared" si="3"/>
        <v>4 lat/a od dnia zakupu</v>
      </c>
      <c r="D213" s="87">
        <v>42826</v>
      </c>
      <c r="E213" s="87">
        <v>42855</v>
      </c>
      <c r="F213" s="88">
        <v>100</v>
      </c>
      <c r="G213" s="120">
        <v>99.9</v>
      </c>
      <c r="H213" s="89">
        <v>245.6775</v>
      </c>
      <c r="I213" s="89">
        <v>38.7397</v>
      </c>
      <c r="J213" s="39">
        <v>0.024</v>
      </c>
      <c r="K213" s="39">
        <f>R213+1.4%</f>
        <v>0.0265</v>
      </c>
      <c r="L213" s="39">
        <f>$R213+1.2%</f>
        <v>0.0245</v>
      </c>
      <c r="M213" s="39">
        <f>$R213+4.7%</f>
        <v>0.0595</v>
      </c>
      <c r="N213" s="36">
        <v>2.4</v>
      </c>
      <c r="O213" s="36">
        <f t="shared" si="9"/>
        <v>2.65</v>
      </c>
      <c r="P213" s="36">
        <f t="shared" si="10"/>
        <v>2.45</v>
      </c>
      <c r="Q213" s="36">
        <f t="shared" si="7"/>
        <v>5.949999999999999</v>
      </c>
      <c r="R213" s="39">
        <v>0.0125</v>
      </c>
    </row>
    <row r="214" spans="1:18" ht="12.75">
      <c r="A214" s="85" t="s">
        <v>1692</v>
      </c>
      <c r="B214" s="86" t="s">
        <v>1693</v>
      </c>
      <c r="C214" s="87" t="str">
        <f t="shared" si="3"/>
        <v>4 lat/a od dnia zakupu</v>
      </c>
      <c r="D214" s="87">
        <v>42856</v>
      </c>
      <c r="E214" s="87">
        <v>42886</v>
      </c>
      <c r="F214" s="88">
        <v>100</v>
      </c>
      <c r="G214" s="120">
        <v>99.9</v>
      </c>
      <c r="H214" s="89">
        <v>249.938</v>
      </c>
      <c r="I214" s="89">
        <v>28.1179</v>
      </c>
      <c r="J214" s="39">
        <v>0.024</v>
      </c>
      <c r="K214" s="39">
        <f>R214+1.3%</f>
        <v>0.025500000000000002</v>
      </c>
      <c r="L214" s="39">
        <f>$R214+1.7%</f>
        <v>0.029500000000000002</v>
      </c>
      <c r="M214" s="39">
        <f>$R214+4.6%</f>
        <v>0.058499999999999996</v>
      </c>
      <c r="N214" s="36">
        <v>2.4</v>
      </c>
      <c r="O214" s="36">
        <f t="shared" si="9"/>
        <v>2.5500000000000003</v>
      </c>
      <c r="P214" s="36">
        <f t="shared" si="10"/>
        <v>2.95</v>
      </c>
      <c r="Q214" s="36">
        <f t="shared" si="7"/>
        <v>5.85</v>
      </c>
      <c r="R214" s="39">
        <v>0.0125</v>
      </c>
    </row>
    <row r="215" spans="1:18" ht="12.75">
      <c r="A215" s="85" t="s">
        <v>1704</v>
      </c>
      <c r="B215" s="86" t="s">
        <v>1705</v>
      </c>
      <c r="C215" s="87" t="str">
        <f t="shared" si="3"/>
        <v>4 lat/a od dnia zakupu</v>
      </c>
      <c r="D215" s="87">
        <v>42887</v>
      </c>
      <c r="E215" s="87">
        <v>42916</v>
      </c>
      <c r="F215" s="88">
        <v>100</v>
      </c>
      <c r="G215" s="120">
        <v>99.9</v>
      </c>
      <c r="H215" s="89">
        <v>178.1848</v>
      </c>
      <c r="I215" s="89">
        <v>23.1094</v>
      </c>
      <c r="J215" s="39">
        <v>0.024</v>
      </c>
      <c r="K215" s="39">
        <f>R215+1.6%</f>
        <v>0.0285</v>
      </c>
      <c r="L215" s="39">
        <f>$R215+2.2%</f>
        <v>0.0345</v>
      </c>
      <c r="M215" s="39">
        <f>$R215+3.4%</f>
        <v>0.0465</v>
      </c>
      <c r="N215" s="36">
        <v>2.4</v>
      </c>
      <c r="O215" s="36">
        <f t="shared" si="9"/>
        <v>2.85</v>
      </c>
      <c r="P215" s="36">
        <f t="shared" si="10"/>
        <v>3.45</v>
      </c>
      <c r="Q215" s="36">
        <f t="shared" si="7"/>
        <v>4.65</v>
      </c>
      <c r="R215" s="39">
        <v>0.0125</v>
      </c>
    </row>
    <row r="216" spans="1:18" ht="12.75">
      <c r="A216" s="85" t="s">
        <v>1714</v>
      </c>
      <c r="B216" s="86" t="s">
        <v>1720</v>
      </c>
      <c r="C216" s="87" t="str">
        <f t="shared" si="3"/>
        <v>4 lat/a od dnia zakupu</v>
      </c>
      <c r="D216" s="87">
        <v>42917</v>
      </c>
      <c r="E216" s="87">
        <v>42947</v>
      </c>
      <c r="F216" s="88">
        <v>100</v>
      </c>
      <c r="G216" s="120">
        <v>99.9</v>
      </c>
      <c r="H216" s="89">
        <v>165.2789</v>
      </c>
      <c r="I216" s="89">
        <v>26.3356</v>
      </c>
      <c r="J216" s="39">
        <v>0.024</v>
      </c>
      <c r="K216" s="39">
        <f>R216+1.7%</f>
        <v>0.029500000000000002</v>
      </c>
      <c r="L216" s="39">
        <f>$R216+2.4%</f>
        <v>0.036500000000000005</v>
      </c>
      <c r="M216" s="39">
        <f>$R216+2.9%</f>
        <v>0.041499999999999995</v>
      </c>
      <c r="N216" s="36">
        <v>2.4</v>
      </c>
      <c r="O216" s="36">
        <f t="shared" si="9"/>
        <v>2.95</v>
      </c>
      <c r="P216" s="36">
        <f t="shared" si="10"/>
        <v>3.6500000000000004</v>
      </c>
      <c r="Q216" s="36">
        <f t="shared" si="7"/>
        <v>4.1499999999999995</v>
      </c>
      <c r="R216" s="39">
        <v>0.0125</v>
      </c>
    </row>
    <row r="217" spans="1:18" ht="12.75">
      <c r="A217" s="85" t="s">
        <v>1728</v>
      </c>
      <c r="B217" s="86" t="s">
        <v>1729</v>
      </c>
      <c r="C217" s="87" t="str">
        <f t="shared" si="3"/>
        <v>4 lat/a od dnia zakupu</v>
      </c>
      <c r="D217" s="87">
        <v>42948</v>
      </c>
      <c r="E217" s="87">
        <v>42978</v>
      </c>
      <c r="F217" s="88">
        <v>100</v>
      </c>
      <c r="G217" s="120">
        <v>99.9</v>
      </c>
      <c r="H217" s="89">
        <v>233.1579</v>
      </c>
      <c r="I217" s="89">
        <v>42.8925</v>
      </c>
      <c r="J217" s="39">
        <v>0.024</v>
      </c>
      <c r="K217" s="39">
        <f>R217+2%</f>
        <v>0.0325</v>
      </c>
      <c r="L217" s="39">
        <f>$R217+2.6%</f>
        <v>0.038500000000000006</v>
      </c>
      <c r="M217" s="39">
        <f>$R217+3.3%</f>
        <v>0.0455</v>
      </c>
      <c r="N217" s="36">
        <v>2.4</v>
      </c>
      <c r="O217" s="36">
        <f t="shared" si="9"/>
        <v>3.25</v>
      </c>
      <c r="P217" s="36">
        <f t="shared" si="10"/>
        <v>3.8500000000000005</v>
      </c>
      <c r="Q217" s="36">
        <f t="shared" si="7"/>
        <v>4.55</v>
      </c>
      <c r="R217" s="39">
        <v>0.0125</v>
      </c>
    </row>
    <row r="218" spans="1:18" ht="12.75">
      <c r="A218" s="85" t="s">
        <v>1740</v>
      </c>
      <c r="B218" s="86" t="s">
        <v>1741</v>
      </c>
      <c r="C218" s="87" t="str">
        <f t="shared" si="3"/>
        <v>4 lat/a od dnia zakupu</v>
      </c>
      <c r="D218" s="87">
        <v>42979</v>
      </c>
      <c r="E218" s="87">
        <v>43008</v>
      </c>
      <c r="F218" s="88">
        <v>100</v>
      </c>
      <c r="G218" s="120">
        <v>99.9</v>
      </c>
      <c r="H218" s="89">
        <v>168.3179</v>
      </c>
      <c r="I218" s="89">
        <v>44.6529</v>
      </c>
      <c r="J218" s="39">
        <v>0.024</v>
      </c>
      <c r="K218" s="39">
        <f>R218+2%</f>
        <v>0.0325</v>
      </c>
      <c r="L218" s="39">
        <f>$R218+2.9%</f>
        <v>0.041499999999999995</v>
      </c>
      <c r="M218" s="39">
        <f>$R218+3%</f>
        <v>0.042499999999999996</v>
      </c>
      <c r="N218" s="36">
        <v>2.4</v>
      </c>
      <c r="O218" s="36">
        <f t="shared" si="9"/>
        <v>3.25</v>
      </c>
      <c r="P218" s="36">
        <f t="shared" si="10"/>
        <v>4.1499999999999995</v>
      </c>
      <c r="Q218" s="36">
        <f t="shared" si="7"/>
        <v>4.25</v>
      </c>
      <c r="R218" s="39">
        <v>0.0125</v>
      </c>
    </row>
    <row r="219" spans="1:18" ht="12.75">
      <c r="A219" s="85" t="s">
        <v>1756</v>
      </c>
      <c r="B219" s="86" t="s">
        <v>1757</v>
      </c>
      <c r="C219" s="87" t="str">
        <f t="shared" si="3"/>
        <v>4 lat/a od dnia zakupu</v>
      </c>
      <c r="D219" s="87">
        <v>43009</v>
      </c>
      <c r="E219" s="87">
        <v>43039</v>
      </c>
      <c r="F219" s="88">
        <v>100</v>
      </c>
      <c r="G219" s="120">
        <v>99.9</v>
      </c>
      <c r="H219" s="89">
        <v>258.3674</v>
      </c>
      <c r="I219" s="89">
        <v>42.502</v>
      </c>
      <c r="J219" s="39">
        <v>0.024</v>
      </c>
      <c r="K219" s="39">
        <f>$R219+2%</f>
        <v>0.0325</v>
      </c>
      <c r="L219" s="39">
        <f>$R219+2.9%</f>
        <v>0.041499999999999995</v>
      </c>
      <c r="M219" s="39">
        <f>$R219+2.9%</f>
        <v>0.041499999999999995</v>
      </c>
      <c r="N219" s="36">
        <v>2.4</v>
      </c>
      <c r="O219" s="36">
        <f t="shared" si="9"/>
        <v>3.25</v>
      </c>
      <c r="P219" s="36">
        <f t="shared" si="10"/>
        <v>4.1499999999999995</v>
      </c>
      <c r="Q219" s="36">
        <f t="shared" si="7"/>
        <v>4.1499999999999995</v>
      </c>
      <c r="R219" s="39">
        <v>0.0125</v>
      </c>
    </row>
    <row r="220" spans="1:18" ht="12.75">
      <c r="A220" s="85" t="s">
        <v>1770</v>
      </c>
      <c r="B220" s="86" t="s">
        <v>1771</v>
      </c>
      <c r="C220" s="87" t="str">
        <f t="shared" si="3"/>
        <v>4 lat/a od dnia zakupu</v>
      </c>
      <c r="D220" s="87">
        <v>43040</v>
      </c>
      <c r="E220" s="87">
        <v>43069</v>
      </c>
      <c r="F220" s="88">
        <v>100</v>
      </c>
      <c r="G220" s="120">
        <v>99.9</v>
      </c>
      <c r="H220" s="89">
        <v>246.137</v>
      </c>
      <c r="I220" s="89">
        <v>49.6834</v>
      </c>
      <c r="J220" s="39">
        <v>0.024</v>
      </c>
      <c r="K220" s="39">
        <f>$R220+1.9%</f>
        <v>0.0315</v>
      </c>
      <c r="L220" s="39">
        <f>$R220+2.6%</f>
        <v>0.038500000000000006</v>
      </c>
      <c r="M220" s="39">
        <f>$R220+3.2%</f>
        <v>0.0445</v>
      </c>
      <c r="N220" s="36">
        <v>2.4</v>
      </c>
      <c r="O220" s="36">
        <f t="shared" si="9"/>
        <v>3.15</v>
      </c>
      <c r="P220" s="36">
        <f t="shared" si="10"/>
        <v>3.8500000000000005</v>
      </c>
      <c r="Q220" s="36">
        <f t="shared" si="7"/>
        <v>4.45</v>
      </c>
      <c r="R220" s="39">
        <v>0.0125</v>
      </c>
    </row>
    <row r="221" spans="1:18" ht="12.75">
      <c r="A221" s="90" t="s">
        <v>1784</v>
      </c>
      <c r="B221" s="91" t="s">
        <v>1785</v>
      </c>
      <c r="C221" s="111" t="str">
        <f t="shared" si="3"/>
        <v>4 lat/a od dnia zakupu</v>
      </c>
      <c r="D221" s="111">
        <v>43070</v>
      </c>
      <c r="E221" s="111">
        <v>43100</v>
      </c>
      <c r="F221" s="112">
        <v>100</v>
      </c>
      <c r="G221" s="121">
        <v>99.9</v>
      </c>
      <c r="H221" s="106">
        <v>190.3357</v>
      </c>
      <c r="I221" s="106">
        <v>56.9507</v>
      </c>
      <c r="J221" s="41">
        <v>0.024</v>
      </c>
      <c r="K221" s="41">
        <f>$R221+1.8%</f>
        <v>0.030500000000000003</v>
      </c>
      <c r="L221" s="41">
        <f>$R221+2.5%</f>
        <v>0.037500000000000006</v>
      </c>
      <c r="M221" s="41">
        <f>$R221+3.1%</f>
        <v>0.0435</v>
      </c>
      <c r="N221" s="38">
        <v>2.4</v>
      </c>
      <c r="O221" s="38">
        <f aca="true" t="shared" si="11" ref="O221:P265">K221*100</f>
        <v>3.0500000000000003</v>
      </c>
      <c r="P221" s="38">
        <f t="shared" si="10"/>
        <v>3.7500000000000004</v>
      </c>
      <c r="Q221" s="38">
        <f t="shared" si="7"/>
        <v>4.35</v>
      </c>
      <c r="R221" s="41">
        <v>0.0125</v>
      </c>
    </row>
    <row r="222" spans="1:18" ht="12.75">
      <c r="A222" s="85" t="s">
        <v>1795</v>
      </c>
      <c r="B222" s="86" t="s">
        <v>1802</v>
      </c>
      <c r="C222" s="109" t="str">
        <f t="shared" si="3"/>
        <v>4 lat/a od dnia zakupu</v>
      </c>
      <c r="D222" s="109">
        <v>43101</v>
      </c>
      <c r="E222" s="109">
        <v>43131</v>
      </c>
      <c r="F222" s="110">
        <v>100</v>
      </c>
      <c r="G222" s="119">
        <v>99.9</v>
      </c>
      <c r="H222" s="101">
        <v>269.2102</v>
      </c>
      <c r="I222" s="101">
        <v>55.9608</v>
      </c>
      <c r="J222" s="39">
        <v>0.024</v>
      </c>
      <c r="K222" s="40">
        <f>$R222+1.3%</f>
        <v>0.025500000000000002</v>
      </c>
      <c r="L222" s="40">
        <f>$R222+2.6%</f>
        <v>0.038500000000000006</v>
      </c>
      <c r="M222" s="40">
        <f>$R222+3%</f>
        <v>0.042499999999999996</v>
      </c>
      <c r="N222" s="36">
        <v>2.4</v>
      </c>
      <c r="O222" s="37">
        <f t="shared" si="11"/>
        <v>2.5500000000000003</v>
      </c>
      <c r="P222" s="37">
        <f t="shared" si="10"/>
        <v>3.8500000000000005</v>
      </c>
      <c r="Q222" s="36">
        <f t="shared" si="7"/>
        <v>4.25</v>
      </c>
      <c r="R222" s="39">
        <v>0.0125</v>
      </c>
    </row>
    <row r="223" spans="1:253" s="70" customFormat="1" ht="12.75">
      <c r="A223" s="98" t="s">
        <v>1809</v>
      </c>
      <c r="B223" s="99" t="s">
        <v>1816</v>
      </c>
      <c r="C223" s="122" t="str">
        <f t="shared" si="3"/>
        <v>4 lat/a od dnia zakupu</v>
      </c>
      <c r="D223" s="109">
        <v>43132</v>
      </c>
      <c r="E223" s="109">
        <v>43159</v>
      </c>
      <c r="F223" s="122">
        <v>100</v>
      </c>
      <c r="G223" s="123">
        <v>99.9</v>
      </c>
      <c r="H223" s="101">
        <v>280.9253</v>
      </c>
      <c r="I223" s="101">
        <v>104.2647</v>
      </c>
      <c r="J223" s="39">
        <v>0.024</v>
      </c>
      <c r="K223" s="39">
        <f>$R223+1.1%</f>
        <v>0.0235</v>
      </c>
      <c r="L223" s="39">
        <f>$R223+3.4%</f>
        <v>0.0465</v>
      </c>
      <c r="M223" s="39">
        <f>$R223+2.4%</f>
        <v>0.036500000000000005</v>
      </c>
      <c r="N223" s="36">
        <v>2.4</v>
      </c>
      <c r="O223" s="36">
        <f t="shared" si="11"/>
        <v>2.35</v>
      </c>
      <c r="P223" s="36">
        <f t="shared" si="10"/>
        <v>4.65</v>
      </c>
      <c r="Q223" s="36">
        <f t="shared" si="7"/>
        <v>3.6500000000000004</v>
      </c>
      <c r="R223" s="39">
        <v>0.0125</v>
      </c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  <c r="BV223" s="69"/>
      <c r="BW223" s="69"/>
      <c r="BX223" s="69"/>
      <c r="BY223" s="69"/>
      <c r="BZ223" s="69"/>
      <c r="CA223" s="69"/>
      <c r="CB223" s="69"/>
      <c r="CC223" s="69"/>
      <c r="CD223" s="69"/>
      <c r="CE223" s="69"/>
      <c r="CF223" s="69"/>
      <c r="CG223" s="69"/>
      <c r="CH223" s="69"/>
      <c r="CI223" s="69"/>
      <c r="CJ223" s="69"/>
      <c r="CK223" s="69"/>
      <c r="CL223" s="69"/>
      <c r="CM223" s="69"/>
      <c r="CN223" s="69"/>
      <c r="CO223" s="69"/>
      <c r="CP223" s="69"/>
      <c r="CQ223" s="69"/>
      <c r="CR223" s="69"/>
      <c r="CS223" s="69"/>
      <c r="CT223" s="69"/>
      <c r="CU223" s="69"/>
      <c r="CV223" s="69"/>
      <c r="CW223" s="69"/>
      <c r="CX223" s="69"/>
      <c r="CY223" s="69"/>
      <c r="CZ223" s="69"/>
      <c r="DA223" s="69"/>
      <c r="DB223" s="69"/>
      <c r="DC223" s="69"/>
      <c r="DD223" s="69"/>
      <c r="DE223" s="69"/>
      <c r="DF223" s="69"/>
      <c r="DG223" s="69"/>
      <c r="DH223" s="69"/>
      <c r="DI223" s="69"/>
      <c r="DJ223" s="69"/>
      <c r="DK223" s="69"/>
      <c r="DL223" s="69"/>
      <c r="DM223" s="69"/>
      <c r="DN223" s="69"/>
      <c r="DO223" s="69"/>
      <c r="DP223" s="69"/>
      <c r="DQ223" s="69"/>
      <c r="DR223" s="69"/>
      <c r="DS223" s="69"/>
      <c r="DT223" s="69"/>
      <c r="DU223" s="69"/>
      <c r="DV223" s="69"/>
      <c r="DW223" s="69"/>
      <c r="DX223" s="69"/>
      <c r="DY223" s="69"/>
      <c r="DZ223" s="69"/>
      <c r="EA223" s="69"/>
      <c r="EB223" s="69"/>
      <c r="EC223" s="69"/>
      <c r="ED223" s="69"/>
      <c r="EE223" s="69"/>
      <c r="EF223" s="69"/>
      <c r="EG223" s="69"/>
      <c r="EH223" s="69"/>
      <c r="EI223" s="69"/>
      <c r="EJ223" s="69"/>
      <c r="EK223" s="69"/>
      <c r="EL223" s="69"/>
      <c r="EM223" s="69"/>
      <c r="EN223" s="69"/>
      <c r="EO223" s="69"/>
      <c r="EP223" s="69"/>
      <c r="EQ223" s="69"/>
      <c r="ER223" s="69"/>
      <c r="ES223" s="69"/>
      <c r="ET223" s="69"/>
      <c r="EU223" s="69"/>
      <c r="EV223" s="69"/>
      <c r="EW223" s="69"/>
      <c r="EX223" s="69"/>
      <c r="EY223" s="69"/>
      <c r="EZ223" s="69"/>
      <c r="FA223" s="69"/>
      <c r="FB223" s="69"/>
      <c r="FC223" s="69"/>
      <c r="FD223" s="69"/>
      <c r="FE223" s="69"/>
      <c r="FF223" s="69"/>
      <c r="FG223" s="69"/>
      <c r="FH223" s="69"/>
      <c r="FI223" s="69"/>
      <c r="FJ223" s="69"/>
      <c r="FK223" s="69"/>
      <c r="FL223" s="69"/>
      <c r="FM223" s="69"/>
      <c r="FN223" s="69"/>
      <c r="FO223" s="69"/>
      <c r="FP223" s="69"/>
      <c r="FQ223" s="69"/>
      <c r="FR223" s="69"/>
      <c r="FS223" s="69"/>
      <c r="FT223" s="69"/>
      <c r="FU223" s="69"/>
      <c r="FV223" s="69"/>
      <c r="FW223" s="69"/>
      <c r="FX223" s="69"/>
      <c r="FY223" s="69"/>
      <c r="FZ223" s="69"/>
      <c r="GA223" s="69"/>
      <c r="GB223" s="69"/>
      <c r="GC223" s="69"/>
      <c r="GD223" s="69"/>
      <c r="GE223" s="69"/>
      <c r="GF223" s="69"/>
      <c r="GG223" s="69"/>
      <c r="GH223" s="69"/>
      <c r="GI223" s="69"/>
      <c r="GJ223" s="69"/>
      <c r="GK223" s="69"/>
      <c r="GL223" s="69"/>
      <c r="GM223" s="69"/>
      <c r="GN223" s="69"/>
      <c r="GO223" s="69"/>
      <c r="GP223" s="69"/>
      <c r="GQ223" s="69"/>
      <c r="GR223" s="69"/>
      <c r="GS223" s="69"/>
      <c r="GT223" s="69"/>
      <c r="GU223" s="69"/>
      <c r="GV223" s="69"/>
      <c r="GW223" s="69"/>
      <c r="GX223" s="69"/>
      <c r="GY223" s="69"/>
      <c r="GZ223" s="69"/>
      <c r="HA223" s="69"/>
      <c r="HB223" s="69"/>
      <c r="HC223" s="69"/>
      <c r="HD223" s="69"/>
      <c r="HE223" s="69"/>
      <c r="HF223" s="69"/>
      <c r="HG223" s="69"/>
      <c r="HH223" s="69"/>
      <c r="HI223" s="69"/>
      <c r="HJ223" s="69"/>
      <c r="HK223" s="69"/>
      <c r="HL223" s="69"/>
      <c r="HM223" s="69"/>
      <c r="HN223" s="69"/>
      <c r="HO223" s="69"/>
      <c r="HP223" s="69"/>
      <c r="HQ223" s="69"/>
      <c r="HR223" s="69"/>
      <c r="HS223" s="69"/>
      <c r="HT223" s="69"/>
      <c r="HU223" s="69"/>
      <c r="HV223" s="69"/>
      <c r="HW223" s="69"/>
      <c r="HX223" s="69"/>
      <c r="HY223" s="69"/>
      <c r="HZ223" s="69"/>
      <c r="IA223" s="69"/>
      <c r="IB223" s="69"/>
      <c r="IC223" s="69"/>
      <c r="ID223" s="69"/>
      <c r="IE223" s="69"/>
      <c r="IF223" s="69"/>
      <c r="IG223" s="69"/>
      <c r="IH223" s="69"/>
      <c r="II223" s="69"/>
      <c r="IJ223" s="69"/>
      <c r="IK223" s="69"/>
      <c r="IL223" s="69"/>
      <c r="IM223" s="69"/>
      <c r="IN223" s="69"/>
      <c r="IO223" s="69"/>
      <c r="IP223" s="69"/>
      <c r="IQ223" s="69"/>
      <c r="IR223" s="69"/>
      <c r="IS223" s="69"/>
    </row>
    <row r="224" spans="1:253" s="70" customFormat="1" ht="12.75">
      <c r="A224" s="98" t="s">
        <v>1826</v>
      </c>
      <c r="B224" s="99" t="s">
        <v>1827</v>
      </c>
      <c r="C224" s="122" t="str">
        <f t="shared" si="3"/>
        <v>4 lat/a od dnia zakupu</v>
      </c>
      <c r="D224" s="109">
        <v>43160</v>
      </c>
      <c r="E224" s="109">
        <v>43190</v>
      </c>
      <c r="F224" s="122">
        <v>100</v>
      </c>
      <c r="G224" s="123">
        <v>99.9</v>
      </c>
      <c r="H224" s="101">
        <v>236.7131</v>
      </c>
      <c r="I224" s="101">
        <v>64.1197</v>
      </c>
      <c r="J224" s="39">
        <v>0.024</v>
      </c>
      <c r="K224" s="39">
        <f>$R224+0.9%</f>
        <v>0.021500000000000002</v>
      </c>
      <c r="L224" s="39">
        <f>$R224+4.4%</f>
        <v>0.05650000000000001</v>
      </c>
      <c r="M224" s="39">
        <f>$R224+2.7%</f>
        <v>0.03950000000000001</v>
      </c>
      <c r="N224" s="36">
        <v>2.4</v>
      </c>
      <c r="O224" s="36">
        <f t="shared" si="11"/>
        <v>2.1500000000000004</v>
      </c>
      <c r="P224" s="36">
        <f t="shared" si="10"/>
        <v>5.650000000000001</v>
      </c>
      <c r="Q224" s="36">
        <f t="shared" si="7"/>
        <v>3.9500000000000006</v>
      </c>
      <c r="R224" s="39">
        <v>0.0125</v>
      </c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  <c r="BV224" s="69"/>
      <c r="BW224" s="69"/>
      <c r="BX224" s="69"/>
      <c r="BY224" s="69"/>
      <c r="BZ224" s="69"/>
      <c r="CA224" s="69"/>
      <c r="CB224" s="69"/>
      <c r="CC224" s="69"/>
      <c r="CD224" s="69"/>
      <c r="CE224" s="69"/>
      <c r="CF224" s="69"/>
      <c r="CG224" s="69"/>
      <c r="CH224" s="69"/>
      <c r="CI224" s="69"/>
      <c r="CJ224" s="69"/>
      <c r="CK224" s="69"/>
      <c r="CL224" s="69"/>
      <c r="CM224" s="69"/>
      <c r="CN224" s="69"/>
      <c r="CO224" s="69"/>
      <c r="CP224" s="69"/>
      <c r="CQ224" s="69"/>
      <c r="CR224" s="69"/>
      <c r="CS224" s="69"/>
      <c r="CT224" s="69"/>
      <c r="CU224" s="69"/>
      <c r="CV224" s="69"/>
      <c r="CW224" s="69"/>
      <c r="CX224" s="69"/>
      <c r="CY224" s="69"/>
      <c r="CZ224" s="69"/>
      <c r="DA224" s="69"/>
      <c r="DB224" s="69"/>
      <c r="DC224" s="69"/>
      <c r="DD224" s="69"/>
      <c r="DE224" s="69"/>
      <c r="DF224" s="69"/>
      <c r="DG224" s="69"/>
      <c r="DH224" s="69"/>
      <c r="DI224" s="69"/>
      <c r="DJ224" s="69"/>
      <c r="DK224" s="69"/>
      <c r="DL224" s="69"/>
      <c r="DM224" s="69"/>
      <c r="DN224" s="69"/>
      <c r="DO224" s="69"/>
      <c r="DP224" s="69"/>
      <c r="DQ224" s="69"/>
      <c r="DR224" s="69"/>
      <c r="DS224" s="69"/>
      <c r="DT224" s="69"/>
      <c r="DU224" s="69"/>
      <c r="DV224" s="69"/>
      <c r="DW224" s="69"/>
      <c r="DX224" s="69"/>
      <c r="DY224" s="69"/>
      <c r="DZ224" s="69"/>
      <c r="EA224" s="69"/>
      <c r="EB224" s="69"/>
      <c r="EC224" s="69"/>
      <c r="ED224" s="69"/>
      <c r="EE224" s="69"/>
      <c r="EF224" s="69"/>
      <c r="EG224" s="69"/>
      <c r="EH224" s="69"/>
      <c r="EI224" s="69"/>
      <c r="EJ224" s="69"/>
      <c r="EK224" s="69"/>
      <c r="EL224" s="69"/>
      <c r="EM224" s="69"/>
      <c r="EN224" s="69"/>
      <c r="EO224" s="69"/>
      <c r="EP224" s="69"/>
      <c r="EQ224" s="69"/>
      <c r="ER224" s="69"/>
      <c r="ES224" s="69"/>
      <c r="ET224" s="69"/>
      <c r="EU224" s="69"/>
      <c r="EV224" s="69"/>
      <c r="EW224" s="69"/>
      <c r="EX224" s="69"/>
      <c r="EY224" s="69"/>
      <c r="EZ224" s="69"/>
      <c r="FA224" s="69"/>
      <c r="FB224" s="69"/>
      <c r="FC224" s="69"/>
      <c r="FD224" s="69"/>
      <c r="FE224" s="69"/>
      <c r="FF224" s="69"/>
      <c r="FG224" s="69"/>
      <c r="FH224" s="69"/>
      <c r="FI224" s="69"/>
      <c r="FJ224" s="69"/>
      <c r="FK224" s="69"/>
      <c r="FL224" s="69"/>
      <c r="FM224" s="69"/>
      <c r="FN224" s="69"/>
      <c r="FO224" s="69"/>
      <c r="FP224" s="69"/>
      <c r="FQ224" s="69"/>
      <c r="FR224" s="69"/>
      <c r="FS224" s="69"/>
      <c r="FT224" s="69"/>
      <c r="FU224" s="69"/>
      <c r="FV224" s="69"/>
      <c r="FW224" s="69"/>
      <c r="FX224" s="69"/>
      <c r="FY224" s="69"/>
      <c r="FZ224" s="69"/>
      <c r="GA224" s="69"/>
      <c r="GB224" s="69"/>
      <c r="GC224" s="69"/>
      <c r="GD224" s="69"/>
      <c r="GE224" s="69"/>
      <c r="GF224" s="69"/>
      <c r="GG224" s="69"/>
      <c r="GH224" s="69"/>
      <c r="GI224" s="69"/>
      <c r="GJ224" s="69"/>
      <c r="GK224" s="69"/>
      <c r="GL224" s="69"/>
      <c r="GM224" s="69"/>
      <c r="GN224" s="69"/>
      <c r="GO224" s="69"/>
      <c r="GP224" s="69"/>
      <c r="GQ224" s="69"/>
      <c r="GR224" s="69"/>
      <c r="GS224" s="69"/>
      <c r="GT224" s="69"/>
      <c r="GU224" s="69"/>
      <c r="GV224" s="69"/>
      <c r="GW224" s="69"/>
      <c r="GX224" s="69"/>
      <c r="GY224" s="69"/>
      <c r="GZ224" s="69"/>
      <c r="HA224" s="69"/>
      <c r="HB224" s="69"/>
      <c r="HC224" s="69"/>
      <c r="HD224" s="69"/>
      <c r="HE224" s="69"/>
      <c r="HF224" s="69"/>
      <c r="HG224" s="69"/>
      <c r="HH224" s="69"/>
      <c r="HI224" s="69"/>
      <c r="HJ224" s="69"/>
      <c r="HK224" s="69"/>
      <c r="HL224" s="69"/>
      <c r="HM224" s="69"/>
      <c r="HN224" s="69"/>
      <c r="HO224" s="69"/>
      <c r="HP224" s="69"/>
      <c r="HQ224" s="69"/>
      <c r="HR224" s="69"/>
      <c r="HS224" s="69"/>
      <c r="HT224" s="69"/>
      <c r="HU224" s="69"/>
      <c r="HV224" s="69"/>
      <c r="HW224" s="69"/>
      <c r="HX224" s="69"/>
      <c r="HY224" s="69"/>
      <c r="HZ224" s="69"/>
      <c r="IA224" s="69"/>
      <c r="IB224" s="69"/>
      <c r="IC224" s="69"/>
      <c r="ID224" s="69"/>
      <c r="IE224" s="69"/>
      <c r="IF224" s="69"/>
      <c r="IG224" s="69"/>
      <c r="IH224" s="69"/>
      <c r="II224" s="69"/>
      <c r="IJ224" s="69"/>
      <c r="IK224" s="69"/>
      <c r="IL224" s="69"/>
      <c r="IM224" s="69"/>
      <c r="IN224" s="69"/>
      <c r="IO224" s="69"/>
      <c r="IP224" s="69"/>
      <c r="IQ224" s="69"/>
      <c r="IR224" s="69"/>
      <c r="IS224" s="69"/>
    </row>
    <row r="225" spans="1:253" s="70" customFormat="1" ht="12.75">
      <c r="A225" s="98" t="s">
        <v>1840</v>
      </c>
      <c r="B225" s="99" t="s">
        <v>1841</v>
      </c>
      <c r="C225" s="122" t="str">
        <f t="shared" si="3"/>
        <v>4 lat/a od dnia zakupu</v>
      </c>
      <c r="D225" s="109">
        <v>43191</v>
      </c>
      <c r="E225" s="109">
        <v>43220</v>
      </c>
      <c r="F225" s="122">
        <v>100</v>
      </c>
      <c r="G225" s="123">
        <v>99.9</v>
      </c>
      <c r="H225" s="101">
        <v>228.7447</v>
      </c>
      <c r="I225" s="101">
        <v>65.312</v>
      </c>
      <c r="J225" s="39">
        <v>0.024</v>
      </c>
      <c r="K225" s="39">
        <f>$R225+1.2%</f>
        <v>0.0245</v>
      </c>
      <c r="L225" s="39">
        <f>$R225+4.7%</f>
        <v>0.0595</v>
      </c>
      <c r="M225" s="39">
        <f>$R225+2.4%</f>
        <v>0.036500000000000005</v>
      </c>
      <c r="N225" s="36">
        <v>2.4</v>
      </c>
      <c r="O225" s="36">
        <f t="shared" si="11"/>
        <v>2.45</v>
      </c>
      <c r="P225" s="36">
        <f t="shared" si="10"/>
        <v>5.949999999999999</v>
      </c>
      <c r="Q225" s="36">
        <f t="shared" si="7"/>
        <v>3.6500000000000004</v>
      </c>
      <c r="R225" s="39">
        <v>0.0125</v>
      </c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  <c r="BW225" s="69"/>
      <c r="BX225" s="69"/>
      <c r="BY225" s="69"/>
      <c r="BZ225" s="69"/>
      <c r="CA225" s="69"/>
      <c r="CB225" s="69"/>
      <c r="CC225" s="69"/>
      <c r="CD225" s="69"/>
      <c r="CE225" s="69"/>
      <c r="CF225" s="69"/>
      <c r="CG225" s="69"/>
      <c r="CH225" s="69"/>
      <c r="CI225" s="69"/>
      <c r="CJ225" s="69"/>
      <c r="CK225" s="69"/>
      <c r="CL225" s="69"/>
      <c r="CM225" s="69"/>
      <c r="CN225" s="69"/>
      <c r="CO225" s="69"/>
      <c r="CP225" s="69"/>
      <c r="CQ225" s="69"/>
      <c r="CR225" s="69"/>
      <c r="CS225" s="69"/>
      <c r="CT225" s="69"/>
      <c r="CU225" s="69"/>
      <c r="CV225" s="69"/>
      <c r="CW225" s="69"/>
      <c r="CX225" s="69"/>
      <c r="CY225" s="69"/>
      <c r="CZ225" s="69"/>
      <c r="DA225" s="69"/>
      <c r="DB225" s="69"/>
      <c r="DC225" s="69"/>
      <c r="DD225" s="69"/>
      <c r="DE225" s="69"/>
      <c r="DF225" s="69"/>
      <c r="DG225" s="69"/>
      <c r="DH225" s="69"/>
      <c r="DI225" s="69"/>
      <c r="DJ225" s="69"/>
      <c r="DK225" s="69"/>
      <c r="DL225" s="69"/>
      <c r="DM225" s="69"/>
      <c r="DN225" s="69"/>
      <c r="DO225" s="69"/>
      <c r="DP225" s="69"/>
      <c r="DQ225" s="69"/>
      <c r="DR225" s="69"/>
      <c r="DS225" s="69"/>
      <c r="DT225" s="69"/>
      <c r="DU225" s="69"/>
      <c r="DV225" s="69"/>
      <c r="DW225" s="69"/>
      <c r="DX225" s="69"/>
      <c r="DY225" s="69"/>
      <c r="DZ225" s="69"/>
      <c r="EA225" s="69"/>
      <c r="EB225" s="69"/>
      <c r="EC225" s="69"/>
      <c r="ED225" s="69"/>
      <c r="EE225" s="69"/>
      <c r="EF225" s="69"/>
      <c r="EG225" s="69"/>
      <c r="EH225" s="69"/>
      <c r="EI225" s="69"/>
      <c r="EJ225" s="69"/>
      <c r="EK225" s="69"/>
      <c r="EL225" s="69"/>
      <c r="EM225" s="69"/>
      <c r="EN225" s="69"/>
      <c r="EO225" s="69"/>
      <c r="EP225" s="69"/>
      <c r="EQ225" s="69"/>
      <c r="ER225" s="69"/>
      <c r="ES225" s="69"/>
      <c r="ET225" s="69"/>
      <c r="EU225" s="69"/>
      <c r="EV225" s="69"/>
      <c r="EW225" s="69"/>
      <c r="EX225" s="69"/>
      <c r="EY225" s="69"/>
      <c r="EZ225" s="69"/>
      <c r="FA225" s="69"/>
      <c r="FB225" s="69"/>
      <c r="FC225" s="69"/>
      <c r="FD225" s="69"/>
      <c r="FE225" s="69"/>
      <c r="FF225" s="69"/>
      <c r="FG225" s="69"/>
      <c r="FH225" s="69"/>
      <c r="FI225" s="69"/>
      <c r="FJ225" s="69"/>
      <c r="FK225" s="69"/>
      <c r="FL225" s="69"/>
      <c r="FM225" s="69"/>
      <c r="FN225" s="69"/>
      <c r="FO225" s="69"/>
      <c r="FP225" s="69"/>
      <c r="FQ225" s="69"/>
      <c r="FR225" s="69"/>
      <c r="FS225" s="69"/>
      <c r="FT225" s="69"/>
      <c r="FU225" s="69"/>
      <c r="FV225" s="69"/>
      <c r="FW225" s="69"/>
      <c r="FX225" s="69"/>
      <c r="FY225" s="69"/>
      <c r="FZ225" s="69"/>
      <c r="GA225" s="69"/>
      <c r="GB225" s="69"/>
      <c r="GC225" s="69"/>
      <c r="GD225" s="69"/>
      <c r="GE225" s="69"/>
      <c r="GF225" s="69"/>
      <c r="GG225" s="69"/>
      <c r="GH225" s="69"/>
      <c r="GI225" s="69"/>
      <c r="GJ225" s="69"/>
      <c r="GK225" s="69"/>
      <c r="GL225" s="69"/>
      <c r="GM225" s="69"/>
      <c r="GN225" s="69"/>
      <c r="GO225" s="69"/>
      <c r="GP225" s="69"/>
      <c r="GQ225" s="69"/>
      <c r="GR225" s="69"/>
      <c r="GS225" s="69"/>
      <c r="GT225" s="69"/>
      <c r="GU225" s="69"/>
      <c r="GV225" s="69"/>
      <c r="GW225" s="69"/>
      <c r="GX225" s="69"/>
      <c r="GY225" s="69"/>
      <c r="GZ225" s="69"/>
      <c r="HA225" s="69"/>
      <c r="HB225" s="69"/>
      <c r="HC225" s="69"/>
      <c r="HD225" s="69"/>
      <c r="HE225" s="69"/>
      <c r="HF225" s="69"/>
      <c r="HG225" s="69"/>
      <c r="HH225" s="69"/>
      <c r="HI225" s="69"/>
      <c r="HJ225" s="69"/>
      <c r="HK225" s="69"/>
      <c r="HL225" s="69"/>
      <c r="HM225" s="69"/>
      <c r="HN225" s="69"/>
      <c r="HO225" s="69"/>
      <c r="HP225" s="69"/>
      <c r="HQ225" s="69"/>
      <c r="HR225" s="69"/>
      <c r="HS225" s="69"/>
      <c r="HT225" s="69"/>
      <c r="HU225" s="69"/>
      <c r="HV225" s="69"/>
      <c r="HW225" s="69"/>
      <c r="HX225" s="69"/>
      <c r="HY225" s="69"/>
      <c r="HZ225" s="69"/>
      <c r="IA225" s="69"/>
      <c r="IB225" s="69"/>
      <c r="IC225" s="69"/>
      <c r="ID225" s="69"/>
      <c r="IE225" s="69"/>
      <c r="IF225" s="69"/>
      <c r="IG225" s="69"/>
      <c r="IH225" s="69"/>
      <c r="II225" s="69"/>
      <c r="IJ225" s="69"/>
      <c r="IK225" s="69"/>
      <c r="IL225" s="69"/>
      <c r="IM225" s="69"/>
      <c r="IN225" s="69"/>
      <c r="IO225" s="69"/>
      <c r="IP225" s="69"/>
      <c r="IQ225" s="69"/>
      <c r="IR225" s="69"/>
      <c r="IS225" s="69"/>
    </row>
    <row r="226" spans="1:253" s="70" customFormat="1" ht="12.75">
      <c r="A226" s="98" t="s">
        <v>1853</v>
      </c>
      <c r="B226" s="99" t="s">
        <v>1854</v>
      </c>
      <c r="C226" s="122" t="str">
        <f t="shared" si="3"/>
        <v>4 lat/a od dnia zakupu</v>
      </c>
      <c r="D226" s="109">
        <v>43221</v>
      </c>
      <c r="E226" s="109">
        <v>43251</v>
      </c>
      <c r="F226" s="122">
        <v>100</v>
      </c>
      <c r="G226" s="123">
        <v>99.9</v>
      </c>
      <c r="H226" s="101">
        <v>189.9076</v>
      </c>
      <c r="I226" s="101">
        <v>56.51</v>
      </c>
      <c r="J226" s="39">
        <v>0.024</v>
      </c>
      <c r="K226" s="39">
        <f>$R226+1.7%</f>
        <v>0.029500000000000002</v>
      </c>
      <c r="L226" s="39">
        <f>$R226+4.6%</f>
        <v>0.058499999999999996</v>
      </c>
      <c r="M226" s="39">
        <f>$R226+3.2%</f>
        <v>0.0445</v>
      </c>
      <c r="N226" s="36">
        <v>2.4</v>
      </c>
      <c r="O226" s="36">
        <f t="shared" si="11"/>
        <v>2.95</v>
      </c>
      <c r="P226" s="36">
        <f t="shared" si="10"/>
        <v>5.85</v>
      </c>
      <c r="Q226" s="36">
        <f t="shared" si="7"/>
        <v>4.45</v>
      </c>
      <c r="R226" s="39">
        <v>0.0125</v>
      </c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  <c r="BU226" s="69"/>
      <c r="BV226" s="69"/>
      <c r="BW226" s="69"/>
      <c r="BX226" s="69"/>
      <c r="BY226" s="69"/>
      <c r="BZ226" s="69"/>
      <c r="CA226" s="69"/>
      <c r="CB226" s="69"/>
      <c r="CC226" s="69"/>
      <c r="CD226" s="69"/>
      <c r="CE226" s="69"/>
      <c r="CF226" s="69"/>
      <c r="CG226" s="69"/>
      <c r="CH226" s="69"/>
      <c r="CI226" s="69"/>
      <c r="CJ226" s="69"/>
      <c r="CK226" s="69"/>
      <c r="CL226" s="69"/>
      <c r="CM226" s="69"/>
      <c r="CN226" s="69"/>
      <c r="CO226" s="69"/>
      <c r="CP226" s="69"/>
      <c r="CQ226" s="69"/>
      <c r="CR226" s="69"/>
      <c r="CS226" s="69"/>
      <c r="CT226" s="69"/>
      <c r="CU226" s="69"/>
      <c r="CV226" s="69"/>
      <c r="CW226" s="69"/>
      <c r="CX226" s="69"/>
      <c r="CY226" s="69"/>
      <c r="CZ226" s="69"/>
      <c r="DA226" s="69"/>
      <c r="DB226" s="69"/>
      <c r="DC226" s="69"/>
      <c r="DD226" s="69"/>
      <c r="DE226" s="69"/>
      <c r="DF226" s="69"/>
      <c r="DG226" s="69"/>
      <c r="DH226" s="69"/>
      <c r="DI226" s="69"/>
      <c r="DJ226" s="69"/>
      <c r="DK226" s="69"/>
      <c r="DL226" s="69"/>
      <c r="DM226" s="69"/>
      <c r="DN226" s="69"/>
      <c r="DO226" s="69"/>
      <c r="DP226" s="69"/>
      <c r="DQ226" s="69"/>
      <c r="DR226" s="69"/>
      <c r="DS226" s="69"/>
      <c r="DT226" s="69"/>
      <c r="DU226" s="69"/>
      <c r="DV226" s="69"/>
      <c r="DW226" s="69"/>
      <c r="DX226" s="69"/>
      <c r="DY226" s="69"/>
      <c r="DZ226" s="69"/>
      <c r="EA226" s="69"/>
      <c r="EB226" s="69"/>
      <c r="EC226" s="69"/>
      <c r="ED226" s="69"/>
      <c r="EE226" s="69"/>
      <c r="EF226" s="69"/>
      <c r="EG226" s="69"/>
      <c r="EH226" s="69"/>
      <c r="EI226" s="69"/>
      <c r="EJ226" s="69"/>
      <c r="EK226" s="69"/>
      <c r="EL226" s="69"/>
      <c r="EM226" s="69"/>
      <c r="EN226" s="69"/>
      <c r="EO226" s="69"/>
      <c r="EP226" s="69"/>
      <c r="EQ226" s="69"/>
      <c r="ER226" s="69"/>
      <c r="ES226" s="69"/>
      <c r="ET226" s="69"/>
      <c r="EU226" s="69"/>
      <c r="EV226" s="69"/>
      <c r="EW226" s="69"/>
      <c r="EX226" s="69"/>
      <c r="EY226" s="69"/>
      <c r="EZ226" s="69"/>
      <c r="FA226" s="69"/>
      <c r="FB226" s="69"/>
      <c r="FC226" s="69"/>
      <c r="FD226" s="69"/>
      <c r="FE226" s="69"/>
      <c r="FF226" s="69"/>
      <c r="FG226" s="69"/>
      <c r="FH226" s="69"/>
      <c r="FI226" s="69"/>
      <c r="FJ226" s="69"/>
      <c r="FK226" s="69"/>
      <c r="FL226" s="69"/>
      <c r="FM226" s="69"/>
      <c r="FN226" s="69"/>
      <c r="FO226" s="69"/>
      <c r="FP226" s="69"/>
      <c r="FQ226" s="69"/>
      <c r="FR226" s="69"/>
      <c r="FS226" s="69"/>
      <c r="FT226" s="69"/>
      <c r="FU226" s="69"/>
      <c r="FV226" s="69"/>
      <c r="FW226" s="69"/>
      <c r="FX226" s="69"/>
      <c r="FY226" s="69"/>
      <c r="FZ226" s="69"/>
      <c r="GA226" s="69"/>
      <c r="GB226" s="69"/>
      <c r="GC226" s="69"/>
      <c r="GD226" s="69"/>
      <c r="GE226" s="69"/>
      <c r="GF226" s="69"/>
      <c r="GG226" s="69"/>
      <c r="GH226" s="69"/>
      <c r="GI226" s="69"/>
      <c r="GJ226" s="69"/>
      <c r="GK226" s="69"/>
      <c r="GL226" s="69"/>
      <c r="GM226" s="69"/>
      <c r="GN226" s="69"/>
      <c r="GO226" s="69"/>
      <c r="GP226" s="69"/>
      <c r="GQ226" s="69"/>
      <c r="GR226" s="69"/>
      <c r="GS226" s="69"/>
      <c r="GT226" s="69"/>
      <c r="GU226" s="69"/>
      <c r="GV226" s="69"/>
      <c r="GW226" s="69"/>
      <c r="GX226" s="69"/>
      <c r="GY226" s="69"/>
      <c r="GZ226" s="69"/>
      <c r="HA226" s="69"/>
      <c r="HB226" s="69"/>
      <c r="HC226" s="69"/>
      <c r="HD226" s="69"/>
      <c r="HE226" s="69"/>
      <c r="HF226" s="69"/>
      <c r="HG226" s="69"/>
      <c r="HH226" s="69"/>
      <c r="HI226" s="69"/>
      <c r="HJ226" s="69"/>
      <c r="HK226" s="69"/>
      <c r="HL226" s="69"/>
      <c r="HM226" s="69"/>
      <c r="HN226" s="69"/>
      <c r="HO226" s="69"/>
      <c r="HP226" s="69"/>
      <c r="HQ226" s="69"/>
      <c r="HR226" s="69"/>
      <c r="HS226" s="69"/>
      <c r="HT226" s="69"/>
      <c r="HU226" s="69"/>
      <c r="HV226" s="69"/>
      <c r="HW226" s="69"/>
      <c r="HX226" s="69"/>
      <c r="HY226" s="69"/>
      <c r="HZ226" s="69"/>
      <c r="IA226" s="69"/>
      <c r="IB226" s="69"/>
      <c r="IC226" s="69"/>
      <c r="ID226" s="69"/>
      <c r="IE226" s="69"/>
      <c r="IF226" s="69"/>
      <c r="IG226" s="69"/>
      <c r="IH226" s="69"/>
      <c r="II226" s="69"/>
      <c r="IJ226" s="69"/>
      <c r="IK226" s="69"/>
      <c r="IL226" s="69"/>
      <c r="IM226" s="69"/>
      <c r="IN226" s="69"/>
      <c r="IO226" s="69"/>
      <c r="IP226" s="69"/>
      <c r="IQ226" s="69"/>
      <c r="IR226" s="69"/>
      <c r="IS226" s="69"/>
    </row>
    <row r="227" spans="1:253" s="70" customFormat="1" ht="12.75">
      <c r="A227" s="98" t="s">
        <v>1873</v>
      </c>
      <c r="B227" s="99" t="s">
        <v>1874</v>
      </c>
      <c r="C227" s="122" t="str">
        <f t="shared" si="3"/>
        <v>4 lat/a od dnia zakupu</v>
      </c>
      <c r="D227" s="109">
        <v>43252</v>
      </c>
      <c r="E227" s="109">
        <v>43281</v>
      </c>
      <c r="F227" s="122">
        <v>100</v>
      </c>
      <c r="G227" s="123">
        <v>99.9</v>
      </c>
      <c r="H227" s="101">
        <v>194.2212</v>
      </c>
      <c r="I227" s="101">
        <v>48.8756</v>
      </c>
      <c r="J227" s="39">
        <v>0.024</v>
      </c>
      <c r="K227" s="39">
        <f>$R227+2.2%</f>
        <v>0.0345</v>
      </c>
      <c r="L227" s="39">
        <f>$R227+3.4%</f>
        <v>0.0465</v>
      </c>
      <c r="M227" s="39">
        <f>$R227+4.3%</f>
        <v>0.055499999999999994</v>
      </c>
      <c r="N227" s="36">
        <v>2.4</v>
      </c>
      <c r="O227" s="36">
        <f t="shared" si="11"/>
        <v>3.45</v>
      </c>
      <c r="P227" s="36">
        <f t="shared" si="10"/>
        <v>4.65</v>
      </c>
      <c r="Q227" s="36">
        <f t="shared" si="7"/>
        <v>5.549999999999999</v>
      </c>
      <c r="R227" s="39">
        <v>0.0125</v>
      </c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  <c r="BU227" s="69"/>
      <c r="BV227" s="69"/>
      <c r="BW227" s="69"/>
      <c r="BX227" s="69"/>
      <c r="BY227" s="69"/>
      <c r="BZ227" s="69"/>
      <c r="CA227" s="69"/>
      <c r="CB227" s="69"/>
      <c r="CC227" s="69"/>
      <c r="CD227" s="69"/>
      <c r="CE227" s="69"/>
      <c r="CF227" s="69"/>
      <c r="CG227" s="69"/>
      <c r="CH227" s="69"/>
      <c r="CI227" s="69"/>
      <c r="CJ227" s="69"/>
      <c r="CK227" s="69"/>
      <c r="CL227" s="69"/>
      <c r="CM227" s="69"/>
      <c r="CN227" s="69"/>
      <c r="CO227" s="69"/>
      <c r="CP227" s="69"/>
      <c r="CQ227" s="69"/>
      <c r="CR227" s="69"/>
      <c r="CS227" s="69"/>
      <c r="CT227" s="69"/>
      <c r="CU227" s="69"/>
      <c r="CV227" s="69"/>
      <c r="CW227" s="69"/>
      <c r="CX227" s="69"/>
      <c r="CY227" s="69"/>
      <c r="CZ227" s="69"/>
      <c r="DA227" s="69"/>
      <c r="DB227" s="69"/>
      <c r="DC227" s="69"/>
      <c r="DD227" s="69"/>
      <c r="DE227" s="69"/>
      <c r="DF227" s="69"/>
      <c r="DG227" s="69"/>
      <c r="DH227" s="69"/>
      <c r="DI227" s="69"/>
      <c r="DJ227" s="69"/>
      <c r="DK227" s="69"/>
      <c r="DL227" s="69"/>
      <c r="DM227" s="69"/>
      <c r="DN227" s="69"/>
      <c r="DO227" s="69"/>
      <c r="DP227" s="69"/>
      <c r="DQ227" s="69"/>
      <c r="DR227" s="69"/>
      <c r="DS227" s="69"/>
      <c r="DT227" s="69"/>
      <c r="DU227" s="69"/>
      <c r="DV227" s="69"/>
      <c r="DW227" s="69"/>
      <c r="DX227" s="69"/>
      <c r="DY227" s="69"/>
      <c r="DZ227" s="69"/>
      <c r="EA227" s="69"/>
      <c r="EB227" s="69"/>
      <c r="EC227" s="69"/>
      <c r="ED227" s="69"/>
      <c r="EE227" s="69"/>
      <c r="EF227" s="69"/>
      <c r="EG227" s="69"/>
      <c r="EH227" s="69"/>
      <c r="EI227" s="69"/>
      <c r="EJ227" s="69"/>
      <c r="EK227" s="69"/>
      <c r="EL227" s="69"/>
      <c r="EM227" s="69"/>
      <c r="EN227" s="69"/>
      <c r="EO227" s="69"/>
      <c r="EP227" s="69"/>
      <c r="EQ227" s="69"/>
      <c r="ER227" s="69"/>
      <c r="ES227" s="69"/>
      <c r="ET227" s="69"/>
      <c r="EU227" s="69"/>
      <c r="EV227" s="69"/>
      <c r="EW227" s="69"/>
      <c r="EX227" s="69"/>
      <c r="EY227" s="69"/>
      <c r="EZ227" s="69"/>
      <c r="FA227" s="69"/>
      <c r="FB227" s="69"/>
      <c r="FC227" s="69"/>
      <c r="FD227" s="69"/>
      <c r="FE227" s="69"/>
      <c r="FF227" s="69"/>
      <c r="FG227" s="69"/>
      <c r="FH227" s="69"/>
      <c r="FI227" s="69"/>
      <c r="FJ227" s="69"/>
      <c r="FK227" s="69"/>
      <c r="FL227" s="69"/>
      <c r="FM227" s="69"/>
      <c r="FN227" s="69"/>
      <c r="FO227" s="69"/>
      <c r="FP227" s="69"/>
      <c r="FQ227" s="69"/>
      <c r="FR227" s="69"/>
      <c r="FS227" s="69"/>
      <c r="FT227" s="69"/>
      <c r="FU227" s="69"/>
      <c r="FV227" s="69"/>
      <c r="FW227" s="69"/>
      <c r="FX227" s="69"/>
      <c r="FY227" s="69"/>
      <c r="FZ227" s="69"/>
      <c r="GA227" s="69"/>
      <c r="GB227" s="69"/>
      <c r="GC227" s="69"/>
      <c r="GD227" s="69"/>
      <c r="GE227" s="69"/>
      <c r="GF227" s="69"/>
      <c r="GG227" s="69"/>
      <c r="GH227" s="69"/>
      <c r="GI227" s="69"/>
      <c r="GJ227" s="69"/>
      <c r="GK227" s="69"/>
      <c r="GL227" s="69"/>
      <c r="GM227" s="69"/>
      <c r="GN227" s="69"/>
      <c r="GO227" s="69"/>
      <c r="GP227" s="69"/>
      <c r="GQ227" s="69"/>
      <c r="GR227" s="69"/>
      <c r="GS227" s="69"/>
      <c r="GT227" s="69"/>
      <c r="GU227" s="69"/>
      <c r="GV227" s="69"/>
      <c r="GW227" s="69"/>
      <c r="GX227" s="69"/>
      <c r="GY227" s="69"/>
      <c r="GZ227" s="69"/>
      <c r="HA227" s="69"/>
      <c r="HB227" s="69"/>
      <c r="HC227" s="69"/>
      <c r="HD227" s="69"/>
      <c r="HE227" s="69"/>
      <c r="HF227" s="69"/>
      <c r="HG227" s="69"/>
      <c r="HH227" s="69"/>
      <c r="HI227" s="69"/>
      <c r="HJ227" s="69"/>
      <c r="HK227" s="69"/>
      <c r="HL227" s="69"/>
      <c r="HM227" s="69"/>
      <c r="HN227" s="69"/>
      <c r="HO227" s="69"/>
      <c r="HP227" s="69"/>
      <c r="HQ227" s="69"/>
      <c r="HR227" s="69"/>
      <c r="HS227" s="69"/>
      <c r="HT227" s="69"/>
      <c r="HU227" s="69"/>
      <c r="HV227" s="69"/>
      <c r="HW227" s="69"/>
      <c r="HX227" s="69"/>
      <c r="HY227" s="69"/>
      <c r="HZ227" s="69"/>
      <c r="IA227" s="69"/>
      <c r="IB227" s="69"/>
      <c r="IC227" s="69"/>
      <c r="ID227" s="69"/>
      <c r="IE227" s="69"/>
      <c r="IF227" s="69"/>
      <c r="IG227" s="69"/>
      <c r="IH227" s="69"/>
      <c r="II227" s="69"/>
      <c r="IJ227" s="69"/>
      <c r="IK227" s="69"/>
      <c r="IL227" s="69"/>
      <c r="IM227" s="69"/>
      <c r="IN227" s="69"/>
      <c r="IO227" s="69"/>
      <c r="IP227" s="69"/>
      <c r="IQ227" s="69"/>
      <c r="IR227" s="69"/>
      <c r="IS227" s="69"/>
    </row>
    <row r="228" spans="1:253" s="70" customFormat="1" ht="12.75">
      <c r="A228" s="98" t="s">
        <v>1889</v>
      </c>
      <c r="B228" s="99" t="s">
        <v>1890</v>
      </c>
      <c r="C228" s="122" t="str">
        <f t="shared" si="3"/>
        <v>4 lat/a od dnia zakupu</v>
      </c>
      <c r="D228" s="109">
        <v>43282</v>
      </c>
      <c r="E228" s="109">
        <v>43312</v>
      </c>
      <c r="F228" s="122">
        <v>100</v>
      </c>
      <c r="G228" s="123">
        <v>99.9</v>
      </c>
      <c r="H228" s="101">
        <v>265.692</v>
      </c>
      <c r="I228" s="101">
        <v>64.4684</v>
      </c>
      <c r="J228" s="39">
        <v>0.024</v>
      </c>
      <c r="K228" s="39">
        <f>$R228+2.4%</f>
        <v>0.036500000000000005</v>
      </c>
      <c r="L228" s="39">
        <f>$R228+2.9%</f>
        <v>0.041499999999999995</v>
      </c>
      <c r="M228" s="39">
        <f>$R228+4.7%</f>
        <v>0.0595</v>
      </c>
      <c r="N228" s="36">
        <v>2.4</v>
      </c>
      <c r="O228" s="36">
        <f t="shared" si="11"/>
        <v>3.6500000000000004</v>
      </c>
      <c r="P228" s="36">
        <f t="shared" si="10"/>
        <v>4.1499999999999995</v>
      </c>
      <c r="Q228" s="36">
        <f t="shared" si="7"/>
        <v>5.949999999999999</v>
      </c>
      <c r="R228" s="39">
        <v>0.0125</v>
      </c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  <c r="BU228" s="69"/>
      <c r="BV228" s="69"/>
      <c r="BW228" s="69"/>
      <c r="BX228" s="69"/>
      <c r="BY228" s="69"/>
      <c r="BZ228" s="69"/>
      <c r="CA228" s="69"/>
      <c r="CB228" s="69"/>
      <c r="CC228" s="69"/>
      <c r="CD228" s="69"/>
      <c r="CE228" s="69"/>
      <c r="CF228" s="69"/>
      <c r="CG228" s="69"/>
      <c r="CH228" s="69"/>
      <c r="CI228" s="69"/>
      <c r="CJ228" s="69"/>
      <c r="CK228" s="69"/>
      <c r="CL228" s="69"/>
      <c r="CM228" s="69"/>
      <c r="CN228" s="69"/>
      <c r="CO228" s="69"/>
      <c r="CP228" s="69"/>
      <c r="CQ228" s="69"/>
      <c r="CR228" s="69"/>
      <c r="CS228" s="69"/>
      <c r="CT228" s="69"/>
      <c r="CU228" s="69"/>
      <c r="CV228" s="69"/>
      <c r="CW228" s="69"/>
      <c r="CX228" s="69"/>
      <c r="CY228" s="69"/>
      <c r="CZ228" s="69"/>
      <c r="DA228" s="69"/>
      <c r="DB228" s="69"/>
      <c r="DC228" s="69"/>
      <c r="DD228" s="69"/>
      <c r="DE228" s="69"/>
      <c r="DF228" s="69"/>
      <c r="DG228" s="69"/>
      <c r="DH228" s="69"/>
      <c r="DI228" s="69"/>
      <c r="DJ228" s="69"/>
      <c r="DK228" s="69"/>
      <c r="DL228" s="69"/>
      <c r="DM228" s="69"/>
      <c r="DN228" s="69"/>
      <c r="DO228" s="69"/>
      <c r="DP228" s="69"/>
      <c r="DQ228" s="69"/>
      <c r="DR228" s="69"/>
      <c r="DS228" s="69"/>
      <c r="DT228" s="69"/>
      <c r="DU228" s="69"/>
      <c r="DV228" s="69"/>
      <c r="DW228" s="69"/>
      <c r="DX228" s="69"/>
      <c r="DY228" s="69"/>
      <c r="DZ228" s="69"/>
      <c r="EA228" s="69"/>
      <c r="EB228" s="69"/>
      <c r="EC228" s="69"/>
      <c r="ED228" s="69"/>
      <c r="EE228" s="69"/>
      <c r="EF228" s="69"/>
      <c r="EG228" s="69"/>
      <c r="EH228" s="69"/>
      <c r="EI228" s="69"/>
      <c r="EJ228" s="69"/>
      <c r="EK228" s="69"/>
      <c r="EL228" s="69"/>
      <c r="EM228" s="69"/>
      <c r="EN228" s="69"/>
      <c r="EO228" s="69"/>
      <c r="EP228" s="69"/>
      <c r="EQ228" s="69"/>
      <c r="ER228" s="69"/>
      <c r="ES228" s="69"/>
      <c r="ET228" s="69"/>
      <c r="EU228" s="69"/>
      <c r="EV228" s="69"/>
      <c r="EW228" s="69"/>
      <c r="EX228" s="69"/>
      <c r="EY228" s="69"/>
      <c r="EZ228" s="69"/>
      <c r="FA228" s="69"/>
      <c r="FB228" s="69"/>
      <c r="FC228" s="69"/>
      <c r="FD228" s="69"/>
      <c r="FE228" s="69"/>
      <c r="FF228" s="69"/>
      <c r="FG228" s="69"/>
      <c r="FH228" s="69"/>
      <c r="FI228" s="69"/>
      <c r="FJ228" s="69"/>
      <c r="FK228" s="69"/>
      <c r="FL228" s="69"/>
      <c r="FM228" s="69"/>
      <c r="FN228" s="69"/>
      <c r="FO228" s="69"/>
      <c r="FP228" s="69"/>
      <c r="FQ228" s="69"/>
      <c r="FR228" s="69"/>
      <c r="FS228" s="69"/>
      <c r="FT228" s="69"/>
      <c r="FU228" s="69"/>
      <c r="FV228" s="69"/>
      <c r="FW228" s="69"/>
      <c r="FX228" s="69"/>
      <c r="FY228" s="69"/>
      <c r="FZ228" s="69"/>
      <c r="GA228" s="69"/>
      <c r="GB228" s="69"/>
      <c r="GC228" s="69"/>
      <c r="GD228" s="69"/>
      <c r="GE228" s="69"/>
      <c r="GF228" s="69"/>
      <c r="GG228" s="69"/>
      <c r="GH228" s="69"/>
      <c r="GI228" s="69"/>
      <c r="GJ228" s="69"/>
      <c r="GK228" s="69"/>
      <c r="GL228" s="69"/>
      <c r="GM228" s="69"/>
      <c r="GN228" s="69"/>
      <c r="GO228" s="69"/>
      <c r="GP228" s="69"/>
      <c r="GQ228" s="69"/>
      <c r="GR228" s="69"/>
      <c r="GS228" s="69"/>
      <c r="GT228" s="69"/>
      <c r="GU228" s="69"/>
      <c r="GV228" s="69"/>
      <c r="GW228" s="69"/>
      <c r="GX228" s="69"/>
      <c r="GY228" s="69"/>
      <c r="GZ228" s="69"/>
      <c r="HA228" s="69"/>
      <c r="HB228" s="69"/>
      <c r="HC228" s="69"/>
      <c r="HD228" s="69"/>
      <c r="HE228" s="69"/>
      <c r="HF228" s="69"/>
      <c r="HG228" s="69"/>
      <c r="HH228" s="69"/>
      <c r="HI228" s="69"/>
      <c r="HJ228" s="69"/>
      <c r="HK228" s="69"/>
      <c r="HL228" s="69"/>
      <c r="HM228" s="69"/>
      <c r="HN228" s="69"/>
      <c r="HO228" s="69"/>
      <c r="HP228" s="69"/>
      <c r="HQ228" s="69"/>
      <c r="HR228" s="69"/>
      <c r="HS228" s="69"/>
      <c r="HT228" s="69"/>
      <c r="HU228" s="69"/>
      <c r="HV228" s="69"/>
      <c r="HW228" s="69"/>
      <c r="HX228" s="69"/>
      <c r="HY228" s="69"/>
      <c r="HZ228" s="69"/>
      <c r="IA228" s="69"/>
      <c r="IB228" s="69"/>
      <c r="IC228" s="69"/>
      <c r="ID228" s="69"/>
      <c r="IE228" s="69"/>
      <c r="IF228" s="69"/>
      <c r="IG228" s="69"/>
      <c r="IH228" s="69"/>
      <c r="II228" s="69"/>
      <c r="IJ228" s="69"/>
      <c r="IK228" s="69"/>
      <c r="IL228" s="69"/>
      <c r="IM228" s="69"/>
      <c r="IN228" s="69"/>
      <c r="IO228" s="69"/>
      <c r="IP228" s="69"/>
      <c r="IQ228" s="69"/>
      <c r="IR228" s="69"/>
      <c r="IS228" s="69"/>
    </row>
    <row r="229" spans="1:253" s="70" customFormat="1" ht="12.75">
      <c r="A229" s="98" t="s">
        <v>1903</v>
      </c>
      <c r="B229" s="99" t="s">
        <v>1904</v>
      </c>
      <c r="C229" s="122" t="str">
        <f t="shared" si="3"/>
        <v>4 lat/a od dnia zakupu</v>
      </c>
      <c r="D229" s="109">
        <v>43313</v>
      </c>
      <c r="E229" s="109">
        <v>43343</v>
      </c>
      <c r="F229" s="122">
        <v>100</v>
      </c>
      <c r="G229" s="123">
        <v>99.9</v>
      </c>
      <c r="H229" s="101">
        <v>240.9606</v>
      </c>
      <c r="I229" s="101">
        <v>86.4979</v>
      </c>
      <c r="J229" s="39">
        <v>0.024</v>
      </c>
      <c r="K229" s="39">
        <f>$R229+2.6%</f>
        <v>0.038500000000000006</v>
      </c>
      <c r="L229" s="39">
        <f>$R229+3.3%</f>
        <v>0.0455</v>
      </c>
      <c r="M229" s="39">
        <f>$R229+4.4%</f>
        <v>0.05650000000000001</v>
      </c>
      <c r="N229" s="36">
        <v>2.4</v>
      </c>
      <c r="O229" s="36">
        <f t="shared" si="11"/>
        <v>3.8500000000000005</v>
      </c>
      <c r="P229" s="36">
        <f t="shared" si="10"/>
        <v>4.55</v>
      </c>
      <c r="Q229" s="36">
        <f t="shared" si="7"/>
        <v>5.650000000000001</v>
      </c>
      <c r="R229" s="39">
        <v>0.0125</v>
      </c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  <c r="BU229" s="69"/>
      <c r="BV229" s="69"/>
      <c r="BW229" s="69"/>
      <c r="BX229" s="69"/>
      <c r="BY229" s="69"/>
      <c r="BZ229" s="69"/>
      <c r="CA229" s="69"/>
      <c r="CB229" s="69"/>
      <c r="CC229" s="69"/>
      <c r="CD229" s="69"/>
      <c r="CE229" s="69"/>
      <c r="CF229" s="69"/>
      <c r="CG229" s="69"/>
      <c r="CH229" s="69"/>
      <c r="CI229" s="69"/>
      <c r="CJ229" s="69"/>
      <c r="CK229" s="69"/>
      <c r="CL229" s="69"/>
      <c r="CM229" s="69"/>
      <c r="CN229" s="69"/>
      <c r="CO229" s="69"/>
      <c r="CP229" s="69"/>
      <c r="CQ229" s="69"/>
      <c r="CR229" s="69"/>
      <c r="CS229" s="69"/>
      <c r="CT229" s="69"/>
      <c r="CU229" s="69"/>
      <c r="CV229" s="69"/>
      <c r="CW229" s="69"/>
      <c r="CX229" s="69"/>
      <c r="CY229" s="69"/>
      <c r="CZ229" s="69"/>
      <c r="DA229" s="69"/>
      <c r="DB229" s="69"/>
      <c r="DC229" s="69"/>
      <c r="DD229" s="69"/>
      <c r="DE229" s="69"/>
      <c r="DF229" s="69"/>
      <c r="DG229" s="69"/>
      <c r="DH229" s="69"/>
      <c r="DI229" s="69"/>
      <c r="DJ229" s="69"/>
      <c r="DK229" s="69"/>
      <c r="DL229" s="69"/>
      <c r="DM229" s="69"/>
      <c r="DN229" s="69"/>
      <c r="DO229" s="69"/>
      <c r="DP229" s="69"/>
      <c r="DQ229" s="69"/>
      <c r="DR229" s="69"/>
      <c r="DS229" s="69"/>
      <c r="DT229" s="69"/>
      <c r="DU229" s="69"/>
      <c r="DV229" s="69"/>
      <c r="DW229" s="69"/>
      <c r="DX229" s="69"/>
      <c r="DY229" s="69"/>
      <c r="DZ229" s="69"/>
      <c r="EA229" s="69"/>
      <c r="EB229" s="69"/>
      <c r="EC229" s="69"/>
      <c r="ED229" s="69"/>
      <c r="EE229" s="69"/>
      <c r="EF229" s="69"/>
      <c r="EG229" s="69"/>
      <c r="EH229" s="69"/>
      <c r="EI229" s="69"/>
      <c r="EJ229" s="69"/>
      <c r="EK229" s="69"/>
      <c r="EL229" s="69"/>
      <c r="EM229" s="69"/>
      <c r="EN229" s="69"/>
      <c r="EO229" s="69"/>
      <c r="EP229" s="69"/>
      <c r="EQ229" s="69"/>
      <c r="ER229" s="69"/>
      <c r="ES229" s="69"/>
      <c r="ET229" s="69"/>
      <c r="EU229" s="69"/>
      <c r="EV229" s="69"/>
      <c r="EW229" s="69"/>
      <c r="EX229" s="69"/>
      <c r="EY229" s="69"/>
      <c r="EZ229" s="69"/>
      <c r="FA229" s="69"/>
      <c r="FB229" s="69"/>
      <c r="FC229" s="69"/>
      <c r="FD229" s="69"/>
      <c r="FE229" s="69"/>
      <c r="FF229" s="69"/>
      <c r="FG229" s="69"/>
      <c r="FH229" s="69"/>
      <c r="FI229" s="69"/>
      <c r="FJ229" s="69"/>
      <c r="FK229" s="69"/>
      <c r="FL229" s="69"/>
      <c r="FM229" s="69"/>
      <c r="FN229" s="69"/>
      <c r="FO229" s="69"/>
      <c r="FP229" s="69"/>
      <c r="FQ229" s="69"/>
      <c r="FR229" s="69"/>
      <c r="FS229" s="69"/>
      <c r="FT229" s="69"/>
      <c r="FU229" s="69"/>
      <c r="FV229" s="69"/>
      <c r="FW229" s="69"/>
      <c r="FX229" s="69"/>
      <c r="FY229" s="69"/>
      <c r="FZ229" s="69"/>
      <c r="GA229" s="69"/>
      <c r="GB229" s="69"/>
      <c r="GC229" s="69"/>
      <c r="GD229" s="69"/>
      <c r="GE229" s="69"/>
      <c r="GF229" s="69"/>
      <c r="GG229" s="69"/>
      <c r="GH229" s="69"/>
      <c r="GI229" s="69"/>
      <c r="GJ229" s="69"/>
      <c r="GK229" s="69"/>
      <c r="GL229" s="69"/>
      <c r="GM229" s="69"/>
      <c r="GN229" s="69"/>
      <c r="GO229" s="69"/>
      <c r="GP229" s="69"/>
      <c r="GQ229" s="69"/>
      <c r="GR229" s="69"/>
      <c r="GS229" s="69"/>
      <c r="GT229" s="69"/>
      <c r="GU229" s="69"/>
      <c r="GV229" s="69"/>
      <c r="GW229" s="69"/>
      <c r="GX229" s="69"/>
      <c r="GY229" s="69"/>
      <c r="GZ229" s="69"/>
      <c r="HA229" s="69"/>
      <c r="HB229" s="69"/>
      <c r="HC229" s="69"/>
      <c r="HD229" s="69"/>
      <c r="HE229" s="69"/>
      <c r="HF229" s="69"/>
      <c r="HG229" s="69"/>
      <c r="HH229" s="69"/>
      <c r="HI229" s="69"/>
      <c r="HJ229" s="69"/>
      <c r="HK229" s="69"/>
      <c r="HL229" s="69"/>
      <c r="HM229" s="69"/>
      <c r="HN229" s="69"/>
      <c r="HO229" s="69"/>
      <c r="HP229" s="69"/>
      <c r="HQ229" s="69"/>
      <c r="HR229" s="69"/>
      <c r="HS229" s="69"/>
      <c r="HT229" s="69"/>
      <c r="HU229" s="69"/>
      <c r="HV229" s="69"/>
      <c r="HW229" s="69"/>
      <c r="HX229" s="69"/>
      <c r="HY229" s="69"/>
      <c r="HZ229" s="69"/>
      <c r="IA229" s="69"/>
      <c r="IB229" s="69"/>
      <c r="IC229" s="69"/>
      <c r="ID229" s="69"/>
      <c r="IE229" s="69"/>
      <c r="IF229" s="69"/>
      <c r="IG229" s="69"/>
      <c r="IH229" s="69"/>
      <c r="II229" s="69"/>
      <c r="IJ229" s="69"/>
      <c r="IK229" s="69"/>
      <c r="IL229" s="69"/>
      <c r="IM229" s="69"/>
      <c r="IN229" s="69"/>
      <c r="IO229" s="69"/>
      <c r="IP229" s="69"/>
      <c r="IQ229" s="69"/>
      <c r="IR229" s="69"/>
      <c r="IS229" s="69"/>
    </row>
    <row r="230" spans="1:253" s="70" customFormat="1" ht="12.75">
      <c r="A230" s="98" t="s">
        <v>1917</v>
      </c>
      <c r="B230" s="99" t="s">
        <v>1918</v>
      </c>
      <c r="C230" s="122" t="str">
        <f t="shared" si="3"/>
        <v>4 lat/a od dnia zakupu</v>
      </c>
      <c r="D230" s="109">
        <v>43344</v>
      </c>
      <c r="E230" s="109">
        <v>43373</v>
      </c>
      <c r="F230" s="122">
        <v>100</v>
      </c>
      <c r="G230" s="123">
        <v>99.9</v>
      </c>
      <c r="H230" s="101">
        <v>261.5565</v>
      </c>
      <c r="I230" s="101">
        <v>79.8677</v>
      </c>
      <c r="J230" s="39">
        <v>0.024</v>
      </c>
      <c r="K230" s="39">
        <f>$R230+2.9%</f>
        <v>0.041499999999999995</v>
      </c>
      <c r="L230" s="39">
        <f>$R230+3%</f>
        <v>0.042499999999999996</v>
      </c>
      <c r="M230" s="39">
        <f>$R230+5%</f>
        <v>0.0625</v>
      </c>
      <c r="N230" s="36">
        <v>2.4</v>
      </c>
      <c r="O230" s="36">
        <f t="shared" si="11"/>
        <v>4.1499999999999995</v>
      </c>
      <c r="P230" s="36">
        <f t="shared" si="10"/>
        <v>4.25</v>
      </c>
      <c r="Q230" s="36">
        <f t="shared" si="7"/>
        <v>6.25</v>
      </c>
      <c r="R230" s="39">
        <v>0.0125</v>
      </c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/>
      <c r="BV230" s="69"/>
      <c r="BW230" s="69"/>
      <c r="BX230" s="69"/>
      <c r="BY230" s="69"/>
      <c r="BZ230" s="69"/>
      <c r="CA230" s="69"/>
      <c r="CB230" s="69"/>
      <c r="CC230" s="69"/>
      <c r="CD230" s="69"/>
      <c r="CE230" s="69"/>
      <c r="CF230" s="69"/>
      <c r="CG230" s="69"/>
      <c r="CH230" s="69"/>
      <c r="CI230" s="69"/>
      <c r="CJ230" s="69"/>
      <c r="CK230" s="69"/>
      <c r="CL230" s="69"/>
      <c r="CM230" s="69"/>
      <c r="CN230" s="69"/>
      <c r="CO230" s="69"/>
      <c r="CP230" s="69"/>
      <c r="CQ230" s="69"/>
      <c r="CR230" s="69"/>
      <c r="CS230" s="69"/>
      <c r="CT230" s="69"/>
      <c r="CU230" s="69"/>
      <c r="CV230" s="69"/>
      <c r="CW230" s="69"/>
      <c r="CX230" s="69"/>
      <c r="CY230" s="69"/>
      <c r="CZ230" s="69"/>
      <c r="DA230" s="69"/>
      <c r="DB230" s="69"/>
      <c r="DC230" s="69"/>
      <c r="DD230" s="69"/>
      <c r="DE230" s="69"/>
      <c r="DF230" s="69"/>
      <c r="DG230" s="69"/>
      <c r="DH230" s="69"/>
      <c r="DI230" s="69"/>
      <c r="DJ230" s="69"/>
      <c r="DK230" s="69"/>
      <c r="DL230" s="69"/>
      <c r="DM230" s="69"/>
      <c r="DN230" s="69"/>
      <c r="DO230" s="69"/>
      <c r="DP230" s="69"/>
      <c r="DQ230" s="69"/>
      <c r="DR230" s="69"/>
      <c r="DS230" s="69"/>
      <c r="DT230" s="69"/>
      <c r="DU230" s="69"/>
      <c r="DV230" s="69"/>
      <c r="DW230" s="69"/>
      <c r="DX230" s="69"/>
      <c r="DY230" s="69"/>
      <c r="DZ230" s="69"/>
      <c r="EA230" s="69"/>
      <c r="EB230" s="69"/>
      <c r="EC230" s="69"/>
      <c r="ED230" s="69"/>
      <c r="EE230" s="69"/>
      <c r="EF230" s="69"/>
      <c r="EG230" s="69"/>
      <c r="EH230" s="69"/>
      <c r="EI230" s="69"/>
      <c r="EJ230" s="69"/>
      <c r="EK230" s="69"/>
      <c r="EL230" s="69"/>
      <c r="EM230" s="69"/>
      <c r="EN230" s="69"/>
      <c r="EO230" s="69"/>
      <c r="EP230" s="69"/>
      <c r="EQ230" s="69"/>
      <c r="ER230" s="69"/>
      <c r="ES230" s="69"/>
      <c r="ET230" s="69"/>
      <c r="EU230" s="69"/>
      <c r="EV230" s="69"/>
      <c r="EW230" s="69"/>
      <c r="EX230" s="69"/>
      <c r="EY230" s="69"/>
      <c r="EZ230" s="69"/>
      <c r="FA230" s="69"/>
      <c r="FB230" s="69"/>
      <c r="FC230" s="69"/>
      <c r="FD230" s="69"/>
      <c r="FE230" s="69"/>
      <c r="FF230" s="69"/>
      <c r="FG230" s="69"/>
      <c r="FH230" s="69"/>
      <c r="FI230" s="69"/>
      <c r="FJ230" s="69"/>
      <c r="FK230" s="69"/>
      <c r="FL230" s="69"/>
      <c r="FM230" s="69"/>
      <c r="FN230" s="69"/>
      <c r="FO230" s="69"/>
      <c r="FP230" s="69"/>
      <c r="FQ230" s="69"/>
      <c r="FR230" s="69"/>
      <c r="FS230" s="69"/>
      <c r="FT230" s="69"/>
      <c r="FU230" s="69"/>
      <c r="FV230" s="69"/>
      <c r="FW230" s="69"/>
      <c r="FX230" s="69"/>
      <c r="FY230" s="69"/>
      <c r="FZ230" s="69"/>
      <c r="GA230" s="69"/>
      <c r="GB230" s="69"/>
      <c r="GC230" s="69"/>
      <c r="GD230" s="69"/>
      <c r="GE230" s="69"/>
      <c r="GF230" s="69"/>
      <c r="GG230" s="69"/>
      <c r="GH230" s="69"/>
      <c r="GI230" s="69"/>
      <c r="GJ230" s="69"/>
      <c r="GK230" s="69"/>
      <c r="GL230" s="69"/>
      <c r="GM230" s="69"/>
      <c r="GN230" s="69"/>
      <c r="GO230" s="69"/>
      <c r="GP230" s="69"/>
      <c r="GQ230" s="69"/>
      <c r="GR230" s="69"/>
      <c r="GS230" s="69"/>
      <c r="GT230" s="69"/>
      <c r="GU230" s="69"/>
      <c r="GV230" s="69"/>
      <c r="GW230" s="69"/>
      <c r="GX230" s="69"/>
      <c r="GY230" s="69"/>
      <c r="GZ230" s="69"/>
      <c r="HA230" s="69"/>
      <c r="HB230" s="69"/>
      <c r="HC230" s="69"/>
      <c r="HD230" s="69"/>
      <c r="HE230" s="69"/>
      <c r="HF230" s="69"/>
      <c r="HG230" s="69"/>
      <c r="HH230" s="69"/>
      <c r="HI230" s="69"/>
      <c r="HJ230" s="69"/>
      <c r="HK230" s="69"/>
      <c r="HL230" s="69"/>
      <c r="HM230" s="69"/>
      <c r="HN230" s="69"/>
      <c r="HO230" s="69"/>
      <c r="HP230" s="69"/>
      <c r="HQ230" s="69"/>
      <c r="HR230" s="69"/>
      <c r="HS230" s="69"/>
      <c r="HT230" s="69"/>
      <c r="HU230" s="69"/>
      <c r="HV230" s="69"/>
      <c r="HW230" s="69"/>
      <c r="HX230" s="69"/>
      <c r="HY230" s="69"/>
      <c r="HZ230" s="69"/>
      <c r="IA230" s="69"/>
      <c r="IB230" s="69"/>
      <c r="IC230" s="69"/>
      <c r="ID230" s="69"/>
      <c r="IE230" s="69"/>
      <c r="IF230" s="69"/>
      <c r="IG230" s="69"/>
      <c r="IH230" s="69"/>
      <c r="II230" s="69"/>
      <c r="IJ230" s="69"/>
      <c r="IK230" s="69"/>
      <c r="IL230" s="69"/>
      <c r="IM230" s="69"/>
      <c r="IN230" s="69"/>
      <c r="IO230" s="69"/>
      <c r="IP230" s="69"/>
      <c r="IQ230" s="69"/>
      <c r="IR230" s="69"/>
      <c r="IS230" s="69"/>
    </row>
    <row r="231" spans="1:253" s="70" customFormat="1" ht="12.75">
      <c r="A231" s="98" t="s">
        <v>1931</v>
      </c>
      <c r="B231" s="99" t="s">
        <v>1932</v>
      </c>
      <c r="C231" s="122" t="str">
        <f t="shared" si="3"/>
        <v>4 lat/a od dnia zakupu</v>
      </c>
      <c r="D231" s="109">
        <v>43374</v>
      </c>
      <c r="E231" s="109">
        <v>43404</v>
      </c>
      <c r="F231" s="122">
        <v>100</v>
      </c>
      <c r="G231" s="123">
        <v>99.6</v>
      </c>
      <c r="H231" s="101">
        <v>437.8313</v>
      </c>
      <c r="I231" s="101">
        <v>193.1183</v>
      </c>
      <c r="J231" s="39">
        <v>0.024</v>
      </c>
      <c r="K231" s="39">
        <f>$R231+2.9%</f>
        <v>0.041499999999999995</v>
      </c>
      <c r="L231" s="39">
        <f>$R231+2.9%</f>
        <v>0.041499999999999995</v>
      </c>
      <c r="M231" s="39">
        <f>$R231+5.5%</f>
        <v>0.0675</v>
      </c>
      <c r="N231" s="36">
        <v>2.4</v>
      </c>
      <c r="O231" s="36">
        <f t="shared" si="11"/>
        <v>4.1499999999999995</v>
      </c>
      <c r="P231" s="36">
        <f t="shared" si="10"/>
        <v>4.1499999999999995</v>
      </c>
      <c r="Q231" s="36">
        <f t="shared" si="7"/>
        <v>6.75</v>
      </c>
      <c r="R231" s="39">
        <v>0.0125</v>
      </c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  <c r="BU231" s="69"/>
      <c r="BV231" s="69"/>
      <c r="BW231" s="69"/>
      <c r="BX231" s="69"/>
      <c r="BY231" s="69"/>
      <c r="BZ231" s="69"/>
      <c r="CA231" s="69"/>
      <c r="CB231" s="69"/>
      <c r="CC231" s="69"/>
      <c r="CD231" s="69"/>
      <c r="CE231" s="69"/>
      <c r="CF231" s="69"/>
      <c r="CG231" s="69"/>
      <c r="CH231" s="69"/>
      <c r="CI231" s="69"/>
      <c r="CJ231" s="69"/>
      <c r="CK231" s="69"/>
      <c r="CL231" s="69"/>
      <c r="CM231" s="69"/>
      <c r="CN231" s="69"/>
      <c r="CO231" s="69"/>
      <c r="CP231" s="69"/>
      <c r="CQ231" s="69"/>
      <c r="CR231" s="69"/>
      <c r="CS231" s="69"/>
      <c r="CT231" s="69"/>
      <c r="CU231" s="69"/>
      <c r="CV231" s="69"/>
      <c r="CW231" s="69"/>
      <c r="CX231" s="69"/>
      <c r="CY231" s="69"/>
      <c r="CZ231" s="69"/>
      <c r="DA231" s="69"/>
      <c r="DB231" s="69"/>
      <c r="DC231" s="69"/>
      <c r="DD231" s="69"/>
      <c r="DE231" s="69"/>
      <c r="DF231" s="69"/>
      <c r="DG231" s="69"/>
      <c r="DH231" s="69"/>
      <c r="DI231" s="69"/>
      <c r="DJ231" s="69"/>
      <c r="DK231" s="69"/>
      <c r="DL231" s="69"/>
      <c r="DM231" s="69"/>
      <c r="DN231" s="69"/>
      <c r="DO231" s="69"/>
      <c r="DP231" s="69"/>
      <c r="DQ231" s="69"/>
      <c r="DR231" s="69"/>
      <c r="DS231" s="69"/>
      <c r="DT231" s="69"/>
      <c r="DU231" s="69"/>
      <c r="DV231" s="69"/>
      <c r="DW231" s="69"/>
      <c r="DX231" s="69"/>
      <c r="DY231" s="69"/>
      <c r="DZ231" s="69"/>
      <c r="EA231" s="69"/>
      <c r="EB231" s="69"/>
      <c r="EC231" s="69"/>
      <c r="ED231" s="69"/>
      <c r="EE231" s="69"/>
      <c r="EF231" s="69"/>
      <c r="EG231" s="69"/>
      <c r="EH231" s="69"/>
      <c r="EI231" s="69"/>
      <c r="EJ231" s="69"/>
      <c r="EK231" s="69"/>
      <c r="EL231" s="69"/>
      <c r="EM231" s="69"/>
      <c r="EN231" s="69"/>
      <c r="EO231" s="69"/>
      <c r="EP231" s="69"/>
      <c r="EQ231" s="69"/>
      <c r="ER231" s="69"/>
      <c r="ES231" s="69"/>
      <c r="ET231" s="69"/>
      <c r="EU231" s="69"/>
      <c r="EV231" s="69"/>
      <c r="EW231" s="69"/>
      <c r="EX231" s="69"/>
      <c r="EY231" s="69"/>
      <c r="EZ231" s="69"/>
      <c r="FA231" s="69"/>
      <c r="FB231" s="69"/>
      <c r="FC231" s="69"/>
      <c r="FD231" s="69"/>
      <c r="FE231" s="69"/>
      <c r="FF231" s="69"/>
      <c r="FG231" s="69"/>
      <c r="FH231" s="69"/>
      <c r="FI231" s="69"/>
      <c r="FJ231" s="69"/>
      <c r="FK231" s="69"/>
      <c r="FL231" s="69"/>
      <c r="FM231" s="69"/>
      <c r="FN231" s="69"/>
      <c r="FO231" s="69"/>
      <c r="FP231" s="69"/>
      <c r="FQ231" s="69"/>
      <c r="FR231" s="69"/>
      <c r="FS231" s="69"/>
      <c r="FT231" s="69"/>
      <c r="FU231" s="69"/>
      <c r="FV231" s="69"/>
      <c r="FW231" s="69"/>
      <c r="FX231" s="69"/>
      <c r="FY231" s="69"/>
      <c r="FZ231" s="69"/>
      <c r="GA231" s="69"/>
      <c r="GB231" s="69"/>
      <c r="GC231" s="69"/>
      <c r="GD231" s="69"/>
      <c r="GE231" s="69"/>
      <c r="GF231" s="69"/>
      <c r="GG231" s="69"/>
      <c r="GH231" s="69"/>
      <c r="GI231" s="69"/>
      <c r="GJ231" s="69"/>
      <c r="GK231" s="69"/>
      <c r="GL231" s="69"/>
      <c r="GM231" s="69"/>
      <c r="GN231" s="69"/>
      <c r="GO231" s="69"/>
      <c r="GP231" s="69"/>
      <c r="GQ231" s="69"/>
      <c r="GR231" s="69"/>
      <c r="GS231" s="69"/>
      <c r="GT231" s="69"/>
      <c r="GU231" s="69"/>
      <c r="GV231" s="69"/>
      <c r="GW231" s="69"/>
      <c r="GX231" s="69"/>
      <c r="GY231" s="69"/>
      <c r="GZ231" s="69"/>
      <c r="HA231" s="69"/>
      <c r="HB231" s="69"/>
      <c r="HC231" s="69"/>
      <c r="HD231" s="69"/>
      <c r="HE231" s="69"/>
      <c r="HF231" s="69"/>
      <c r="HG231" s="69"/>
      <c r="HH231" s="69"/>
      <c r="HI231" s="69"/>
      <c r="HJ231" s="69"/>
      <c r="HK231" s="69"/>
      <c r="HL231" s="69"/>
      <c r="HM231" s="69"/>
      <c r="HN231" s="69"/>
      <c r="HO231" s="69"/>
      <c r="HP231" s="69"/>
      <c r="HQ231" s="69"/>
      <c r="HR231" s="69"/>
      <c r="HS231" s="69"/>
      <c r="HT231" s="69"/>
      <c r="HU231" s="69"/>
      <c r="HV231" s="69"/>
      <c r="HW231" s="69"/>
      <c r="HX231" s="69"/>
      <c r="HY231" s="69"/>
      <c r="HZ231" s="69"/>
      <c r="IA231" s="69"/>
      <c r="IB231" s="69"/>
      <c r="IC231" s="69"/>
      <c r="ID231" s="69"/>
      <c r="IE231" s="69"/>
      <c r="IF231" s="69"/>
      <c r="IG231" s="69"/>
      <c r="IH231" s="69"/>
      <c r="II231" s="69"/>
      <c r="IJ231" s="69"/>
      <c r="IK231" s="69"/>
      <c r="IL231" s="69"/>
      <c r="IM231" s="69"/>
      <c r="IN231" s="69"/>
      <c r="IO231" s="69"/>
      <c r="IP231" s="69"/>
      <c r="IQ231" s="69"/>
      <c r="IR231" s="69"/>
      <c r="IS231" s="69"/>
    </row>
    <row r="232" spans="1:253" s="70" customFormat="1" ht="12.75">
      <c r="A232" s="98" t="s">
        <v>1945</v>
      </c>
      <c r="B232" s="99" t="s">
        <v>1946</v>
      </c>
      <c r="C232" s="122" t="str">
        <f t="shared" si="3"/>
        <v>4 lat/a od dnia zakupu</v>
      </c>
      <c r="D232" s="109">
        <v>43405</v>
      </c>
      <c r="E232" s="109">
        <v>43434</v>
      </c>
      <c r="F232" s="122">
        <v>100</v>
      </c>
      <c r="G232" s="123">
        <v>99.9</v>
      </c>
      <c r="H232" s="101">
        <v>395.2573</v>
      </c>
      <c r="I232" s="101">
        <v>59.8791</v>
      </c>
      <c r="J232" s="39">
        <v>0.024</v>
      </c>
      <c r="K232" s="39">
        <f>$R232+2.6%</f>
        <v>0.038500000000000006</v>
      </c>
      <c r="L232" s="39">
        <f>$R232+3.2%</f>
        <v>0.0445</v>
      </c>
      <c r="M232" s="39">
        <f>$R232+5.9%</f>
        <v>0.07150000000000001</v>
      </c>
      <c r="N232" s="36">
        <v>2.4</v>
      </c>
      <c r="O232" s="36">
        <f t="shared" si="11"/>
        <v>3.8500000000000005</v>
      </c>
      <c r="P232" s="36">
        <f t="shared" si="10"/>
        <v>4.45</v>
      </c>
      <c r="Q232" s="36">
        <f t="shared" si="7"/>
        <v>7.15</v>
      </c>
      <c r="R232" s="39">
        <v>0.0125</v>
      </c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  <c r="BU232" s="69"/>
      <c r="BV232" s="69"/>
      <c r="BW232" s="69"/>
      <c r="BX232" s="69"/>
      <c r="BY232" s="69"/>
      <c r="BZ232" s="69"/>
      <c r="CA232" s="69"/>
      <c r="CB232" s="69"/>
      <c r="CC232" s="69"/>
      <c r="CD232" s="69"/>
      <c r="CE232" s="69"/>
      <c r="CF232" s="69"/>
      <c r="CG232" s="69"/>
      <c r="CH232" s="69"/>
      <c r="CI232" s="69"/>
      <c r="CJ232" s="69"/>
      <c r="CK232" s="69"/>
      <c r="CL232" s="69"/>
      <c r="CM232" s="69"/>
      <c r="CN232" s="69"/>
      <c r="CO232" s="69"/>
      <c r="CP232" s="69"/>
      <c r="CQ232" s="69"/>
      <c r="CR232" s="69"/>
      <c r="CS232" s="69"/>
      <c r="CT232" s="69"/>
      <c r="CU232" s="69"/>
      <c r="CV232" s="69"/>
      <c r="CW232" s="69"/>
      <c r="CX232" s="69"/>
      <c r="CY232" s="69"/>
      <c r="CZ232" s="69"/>
      <c r="DA232" s="69"/>
      <c r="DB232" s="69"/>
      <c r="DC232" s="69"/>
      <c r="DD232" s="69"/>
      <c r="DE232" s="69"/>
      <c r="DF232" s="69"/>
      <c r="DG232" s="69"/>
      <c r="DH232" s="69"/>
      <c r="DI232" s="69"/>
      <c r="DJ232" s="69"/>
      <c r="DK232" s="69"/>
      <c r="DL232" s="69"/>
      <c r="DM232" s="69"/>
      <c r="DN232" s="69"/>
      <c r="DO232" s="69"/>
      <c r="DP232" s="69"/>
      <c r="DQ232" s="69"/>
      <c r="DR232" s="69"/>
      <c r="DS232" s="69"/>
      <c r="DT232" s="69"/>
      <c r="DU232" s="69"/>
      <c r="DV232" s="69"/>
      <c r="DW232" s="69"/>
      <c r="DX232" s="69"/>
      <c r="DY232" s="69"/>
      <c r="DZ232" s="69"/>
      <c r="EA232" s="69"/>
      <c r="EB232" s="69"/>
      <c r="EC232" s="69"/>
      <c r="ED232" s="69"/>
      <c r="EE232" s="69"/>
      <c r="EF232" s="69"/>
      <c r="EG232" s="69"/>
      <c r="EH232" s="69"/>
      <c r="EI232" s="69"/>
      <c r="EJ232" s="69"/>
      <c r="EK232" s="69"/>
      <c r="EL232" s="69"/>
      <c r="EM232" s="69"/>
      <c r="EN232" s="69"/>
      <c r="EO232" s="69"/>
      <c r="EP232" s="69"/>
      <c r="EQ232" s="69"/>
      <c r="ER232" s="69"/>
      <c r="ES232" s="69"/>
      <c r="ET232" s="69"/>
      <c r="EU232" s="69"/>
      <c r="EV232" s="69"/>
      <c r="EW232" s="69"/>
      <c r="EX232" s="69"/>
      <c r="EY232" s="69"/>
      <c r="EZ232" s="69"/>
      <c r="FA232" s="69"/>
      <c r="FB232" s="69"/>
      <c r="FC232" s="69"/>
      <c r="FD232" s="69"/>
      <c r="FE232" s="69"/>
      <c r="FF232" s="69"/>
      <c r="FG232" s="69"/>
      <c r="FH232" s="69"/>
      <c r="FI232" s="69"/>
      <c r="FJ232" s="69"/>
      <c r="FK232" s="69"/>
      <c r="FL232" s="69"/>
      <c r="FM232" s="69"/>
      <c r="FN232" s="69"/>
      <c r="FO232" s="69"/>
      <c r="FP232" s="69"/>
      <c r="FQ232" s="69"/>
      <c r="FR232" s="69"/>
      <c r="FS232" s="69"/>
      <c r="FT232" s="69"/>
      <c r="FU232" s="69"/>
      <c r="FV232" s="69"/>
      <c r="FW232" s="69"/>
      <c r="FX232" s="69"/>
      <c r="FY232" s="69"/>
      <c r="FZ232" s="69"/>
      <c r="GA232" s="69"/>
      <c r="GB232" s="69"/>
      <c r="GC232" s="69"/>
      <c r="GD232" s="69"/>
      <c r="GE232" s="69"/>
      <c r="GF232" s="69"/>
      <c r="GG232" s="69"/>
      <c r="GH232" s="69"/>
      <c r="GI232" s="69"/>
      <c r="GJ232" s="69"/>
      <c r="GK232" s="69"/>
      <c r="GL232" s="69"/>
      <c r="GM232" s="69"/>
      <c r="GN232" s="69"/>
      <c r="GO232" s="69"/>
      <c r="GP232" s="69"/>
      <c r="GQ232" s="69"/>
      <c r="GR232" s="69"/>
      <c r="GS232" s="69"/>
      <c r="GT232" s="69"/>
      <c r="GU232" s="69"/>
      <c r="GV232" s="69"/>
      <c r="GW232" s="69"/>
      <c r="GX232" s="69"/>
      <c r="GY232" s="69"/>
      <c r="GZ232" s="69"/>
      <c r="HA232" s="69"/>
      <c r="HB232" s="69"/>
      <c r="HC232" s="69"/>
      <c r="HD232" s="69"/>
      <c r="HE232" s="69"/>
      <c r="HF232" s="69"/>
      <c r="HG232" s="69"/>
      <c r="HH232" s="69"/>
      <c r="HI232" s="69"/>
      <c r="HJ232" s="69"/>
      <c r="HK232" s="69"/>
      <c r="HL232" s="69"/>
      <c r="HM232" s="69"/>
      <c r="HN232" s="69"/>
      <c r="HO232" s="69"/>
      <c r="HP232" s="69"/>
      <c r="HQ232" s="69"/>
      <c r="HR232" s="69"/>
      <c r="HS232" s="69"/>
      <c r="HT232" s="69"/>
      <c r="HU232" s="69"/>
      <c r="HV232" s="69"/>
      <c r="HW232" s="69"/>
      <c r="HX232" s="69"/>
      <c r="HY232" s="69"/>
      <c r="HZ232" s="69"/>
      <c r="IA232" s="69"/>
      <c r="IB232" s="69"/>
      <c r="IC232" s="69"/>
      <c r="ID232" s="69"/>
      <c r="IE232" s="69"/>
      <c r="IF232" s="69"/>
      <c r="IG232" s="69"/>
      <c r="IH232" s="69"/>
      <c r="II232" s="69"/>
      <c r="IJ232" s="69"/>
      <c r="IK232" s="69"/>
      <c r="IL232" s="69"/>
      <c r="IM232" s="69"/>
      <c r="IN232" s="69"/>
      <c r="IO232" s="69"/>
      <c r="IP232" s="69"/>
      <c r="IQ232" s="69"/>
      <c r="IR232" s="69"/>
      <c r="IS232" s="69"/>
    </row>
    <row r="233" spans="1:18" ht="12.75">
      <c r="A233" s="103" t="s">
        <v>1959</v>
      </c>
      <c r="B233" s="104" t="s">
        <v>1960</v>
      </c>
      <c r="C233" s="124" t="str">
        <f t="shared" si="3"/>
        <v>4 lat/a od dnia zakupu</v>
      </c>
      <c r="D233" s="111">
        <v>43435</v>
      </c>
      <c r="E233" s="111">
        <v>43465</v>
      </c>
      <c r="F233" s="124">
        <v>100</v>
      </c>
      <c r="G233" s="125">
        <v>99.9</v>
      </c>
      <c r="H233" s="106">
        <v>340.3507</v>
      </c>
      <c r="I233" s="106">
        <v>67.2587</v>
      </c>
      <c r="J233" s="41">
        <v>0.024</v>
      </c>
      <c r="K233" s="41">
        <f>$R233+2.5%</f>
        <v>0.037500000000000006</v>
      </c>
      <c r="L233" s="41">
        <f>$R233+3.1%</f>
        <v>0.0435</v>
      </c>
      <c r="M233" s="39">
        <f>$R233+6.8%</f>
        <v>0.0805</v>
      </c>
      <c r="N233" s="38">
        <v>2.4</v>
      </c>
      <c r="O233" s="38">
        <f t="shared" si="11"/>
        <v>3.7500000000000004</v>
      </c>
      <c r="P233" s="38">
        <f t="shared" si="10"/>
        <v>4.35</v>
      </c>
      <c r="Q233" s="38">
        <f t="shared" si="7"/>
        <v>8.05</v>
      </c>
      <c r="R233" s="41">
        <v>0.0125</v>
      </c>
    </row>
    <row r="234" spans="1:18" ht="12.75">
      <c r="A234" s="126" t="s">
        <v>1973</v>
      </c>
      <c r="B234" s="127" t="s">
        <v>1974</v>
      </c>
      <c r="C234" s="128" t="str">
        <f t="shared" si="3"/>
        <v>4 lat/a od dnia zakupu</v>
      </c>
      <c r="D234" s="115">
        <v>43466</v>
      </c>
      <c r="E234" s="115">
        <v>43496</v>
      </c>
      <c r="F234" s="128">
        <v>100</v>
      </c>
      <c r="G234" s="129">
        <v>99.9</v>
      </c>
      <c r="H234" s="118">
        <v>326.6261</v>
      </c>
      <c r="I234" s="118">
        <v>53.5162</v>
      </c>
      <c r="J234" s="40">
        <v>0.024</v>
      </c>
      <c r="K234" s="40">
        <f>$R234+2.6%</f>
        <v>0.038500000000000006</v>
      </c>
      <c r="L234" s="40">
        <f>$R234+3%</f>
        <v>0.042499999999999996</v>
      </c>
      <c r="M234" s="40">
        <f>$R234+7.8%</f>
        <v>0.0905</v>
      </c>
      <c r="N234" s="37">
        <v>2.4</v>
      </c>
      <c r="O234" s="37">
        <f t="shared" si="11"/>
        <v>3.8500000000000005</v>
      </c>
      <c r="P234" s="37">
        <f t="shared" si="10"/>
        <v>4.25</v>
      </c>
      <c r="Q234" s="37">
        <f t="shared" si="7"/>
        <v>9.049999999999999</v>
      </c>
      <c r="R234" s="40">
        <v>0.0125</v>
      </c>
    </row>
    <row r="235" spans="1:18" ht="12.75">
      <c r="A235" s="98" t="s">
        <v>1987</v>
      </c>
      <c r="B235" s="99" t="s">
        <v>1988</v>
      </c>
      <c r="C235" s="122" t="str">
        <f t="shared" si="3"/>
        <v>4 lat/a od dnia zakupu</v>
      </c>
      <c r="D235" s="109">
        <v>43497</v>
      </c>
      <c r="E235" s="109">
        <v>43524</v>
      </c>
      <c r="F235" s="122">
        <v>100</v>
      </c>
      <c r="G235" s="123">
        <v>99.9</v>
      </c>
      <c r="H235" s="101">
        <v>291.2714</v>
      </c>
      <c r="I235" s="101">
        <v>59.1406</v>
      </c>
      <c r="J235" s="39">
        <v>0.024</v>
      </c>
      <c r="K235" s="39">
        <f>$R235+3.4%</f>
        <v>0.0465</v>
      </c>
      <c r="L235" s="39">
        <f>$R235+2.4%</f>
        <v>0.036500000000000005</v>
      </c>
      <c r="M235" s="39">
        <f>$R235+8.6%</f>
        <v>0.09849999999999999</v>
      </c>
      <c r="N235" s="36">
        <v>2.4</v>
      </c>
      <c r="O235" s="36">
        <f t="shared" si="11"/>
        <v>4.65</v>
      </c>
      <c r="P235" s="36">
        <f t="shared" si="10"/>
        <v>3.6500000000000004</v>
      </c>
      <c r="Q235" s="36">
        <f t="shared" si="7"/>
        <v>9.85</v>
      </c>
      <c r="R235" s="39">
        <v>0.0125</v>
      </c>
    </row>
    <row r="236" spans="1:18" ht="12.75">
      <c r="A236" s="98" t="s">
        <v>2001</v>
      </c>
      <c r="B236" s="99" t="s">
        <v>2002</v>
      </c>
      <c r="C236" s="122" t="s">
        <v>2021</v>
      </c>
      <c r="D236" s="109">
        <v>43525</v>
      </c>
      <c r="E236" s="109">
        <v>43555</v>
      </c>
      <c r="F236" s="122">
        <v>100</v>
      </c>
      <c r="G236" s="123">
        <v>99.9</v>
      </c>
      <c r="H236" s="101">
        <v>224.3911</v>
      </c>
      <c r="I236" s="101">
        <v>43.0406</v>
      </c>
      <c r="J236" s="39">
        <v>0.024</v>
      </c>
      <c r="K236" s="39">
        <f>$R236+4.4%</f>
        <v>0.05650000000000001</v>
      </c>
      <c r="L236" s="39">
        <f>$R236+2.7%</f>
        <v>0.03950000000000001</v>
      </c>
      <c r="M236" s="39">
        <f>$R236+9.2%</f>
        <v>0.1045</v>
      </c>
      <c r="N236" s="36">
        <v>2.4</v>
      </c>
      <c r="O236" s="36">
        <f t="shared" si="11"/>
        <v>5.650000000000001</v>
      </c>
      <c r="P236" s="36">
        <f t="shared" si="10"/>
        <v>3.9500000000000006</v>
      </c>
      <c r="Q236" s="36">
        <f t="shared" si="7"/>
        <v>10.45</v>
      </c>
      <c r="R236" s="39">
        <v>0.0125</v>
      </c>
    </row>
    <row r="237" spans="1:18" ht="12.75">
      <c r="A237" s="98" t="s">
        <v>2022</v>
      </c>
      <c r="B237" s="99" t="s">
        <v>2023</v>
      </c>
      <c r="C237" s="122" t="str">
        <f t="shared" si="3"/>
        <v>4 lat/a od dnia zakupu</v>
      </c>
      <c r="D237" s="109">
        <v>43556</v>
      </c>
      <c r="E237" s="109">
        <v>43585</v>
      </c>
      <c r="F237" s="122">
        <v>100</v>
      </c>
      <c r="G237" s="123">
        <v>99.6</v>
      </c>
      <c r="H237" s="101">
        <v>338.6115</v>
      </c>
      <c r="I237" s="101">
        <v>80.8066</v>
      </c>
      <c r="J237" s="39">
        <v>0.024</v>
      </c>
      <c r="K237" s="39">
        <f>$R237+4.7%</f>
        <v>0.0595</v>
      </c>
      <c r="L237" s="39">
        <f>$R237+2.4%</f>
        <v>0.036500000000000005</v>
      </c>
      <c r="M237" s="39">
        <f>$R237+8.5%</f>
        <v>0.0975</v>
      </c>
      <c r="N237" s="36">
        <v>2.4</v>
      </c>
      <c r="O237" s="36">
        <f t="shared" si="11"/>
        <v>5.949999999999999</v>
      </c>
      <c r="P237" s="36">
        <f t="shared" si="10"/>
        <v>3.6500000000000004</v>
      </c>
      <c r="Q237" s="36">
        <f t="shared" si="7"/>
        <v>9.75</v>
      </c>
      <c r="R237" s="39">
        <v>0.0125</v>
      </c>
    </row>
    <row r="238" spans="1:18" ht="12.75">
      <c r="A238" s="98" t="s">
        <v>2036</v>
      </c>
      <c r="B238" s="99" t="s">
        <v>2037</v>
      </c>
      <c r="C238" s="122" t="str">
        <f t="shared" si="3"/>
        <v>4 lat/a od dnia zakupu</v>
      </c>
      <c r="D238" s="109">
        <v>43586</v>
      </c>
      <c r="E238" s="109">
        <v>43616</v>
      </c>
      <c r="F238" s="122">
        <v>100</v>
      </c>
      <c r="G238" s="123">
        <v>99.9</v>
      </c>
      <c r="H238" s="101">
        <v>363.2991</v>
      </c>
      <c r="I238" s="101">
        <v>56.2165</v>
      </c>
      <c r="J238" s="39">
        <v>0.024</v>
      </c>
      <c r="K238" s="39">
        <f>$R238+4.6%</f>
        <v>0.058499999999999996</v>
      </c>
      <c r="L238" s="39">
        <f>$R238+3.2%</f>
        <v>0.0445</v>
      </c>
      <c r="M238" s="39">
        <f>$R238+11%</f>
        <v>0.1225</v>
      </c>
      <c r="N238" s="36">
        <v>2.4</v>
      </c>
      <c r="O238" s="36">
        <f t="shared" si="11"/>
        <v>5.85</v>
      </c>
      <c r="P238" s="36">
        <f t="shared" si="10"/>
        <v>4.45</v>
      </c>
      <c r="Q238" s="36">
        <f t="shared" si="7"/>
        <v>12.25</v>
      </c>
      <c r="R238" s="39">
        <v>0.0125</v>
      </c>
    </row>
    <row r="239" spans="1:18" ht="12.75">
      <c r="A239" s="98" t="s">
        <v>2051</v>
      </c>
      <c r="B239" s="99" t="s">
        <v>2052</v>
      </c>
      <c r="C239" s="122" t="str">
        <f t="shared" si="3"/>
        <v>4 lat/a od dnia zakupu</v>
      </c>
      <c r="D239" s="109">
        <v>43617</v>
      </c>
      <c r="E239" s="109">
        <v>43646</v>
      </c>
      <c r="F239" s="122">
        <v>100</v>
      </c>
      <c r="G239" s="123">
        <v>99.9</v>
      </c>
      <c r="H239" s="101">
        <v>307.8238</v>
      </c>
      <c r="I239" s="101">
        <v>61.7498</v>
      </c>
      <c r="J239" s="39">
        <v>0.024</v>
      </c>
      <c r="K239" s="39">
        <f>$R239+3.4%</f>
        <v>0.0465</v>
      </c>
      <c r="L239" s="39">
        <f>$R239+4.3%</f>
        <v>0.055499999999999994</v>
      </c>
      <c r="M239" s="39">
        <f>$R239+12.4%</f>
        <v>0.1365</v>
      </c>
      <c r="N239" s="36">
        <v>2.4</v>
      </c>
      <c r="O239" s="36">
        <f t="shared" si="11"/>
        <v>4.65</v>
      </c>
      <c r="P239" s="36">
        <f t="shared" si="10"/>
        <v>5.549999999999999</v>
      </c>
      <c r="Q239" s="36">
        <f t="shared" si="7"/>
        <v>13.65</v>
      </c>
      <c r="R239" s="39">
        <v>0.0125</v>
      </c>
    </row>
    <row r="240" spans="1:18" ht="12.75">
      <c r="A240" s="98" t="s">
        <v>2066</v>
      </c>
      <c r="B240" s="99" t="s">
        <v>2067</v>
      </c>
      <c r="C240" s="122" t="str">
        <f t="shared" si="3"/>
        <v>4 lat/a od dnia zakupu</v>
      </c>
      <c r="D240" s="109">
        <v>43647</v>
      </c>
      <c r="E240" s="109">
        <v>43677</v>
      </c>
      <c r="F240" s="122">
        <v>100</v>
      </c>
      <c r="G240" s="123">
        <v>99.9</v>
      </c>
      <c r="H240" s="101">
        <v>568.6823</v>
      </c>
      <c r="I240" s="101">
        <v>72.2325</v>
      </c>
      <c r="J240" s="39">
        <v>0.024</v>
      </c>
      <c r="K240" s="39">
        <f>$R240+2.9%</f>
        <v>0.041499999999999995</v>
      </c>
      <c r="L240" s="39">
        <f>$R240+4.7%</f>
        <v>0.0595</v>
      </c>
      <c r="M240" s="39">
        <f>$R240+13.9%</f>
        <v>0.15150000000000002</v>
      </c>
      <c r="N240" s="36">
        <v>2.4</v>
      </c>
      <c r="O240" s="36">
        <f t="shared" si="11"/>
        <v>4.1499999999999995</v>
      </c>
      <c r="P240" s="36">
        <f t="shared" si="10"/>
        <v>5.949999999999999</v>
      </c>
      <c r="Q240" s="36">
        <f t="shared" si="7"/>
        <v>15.150000000000002</v>
      </c>
      <c r="R240" s="39">
        <v>0.0125</v>
      </c>
    </row>
    <row r="241" spans="1:18" ht="12.75">
      <c r="A241" s="98" t="s">
        <v>2080</v>
      </c>
      <c r="B241" s="99" t="s">
        <v>2082</v>
      </c>
      <c r="C241" s="100" t="str">
        <f aca="true" t="shared" si="12" ref="C241:C291">"4"&amp;WykupCOI</f>
        <v>4 lat/a od dnia zakupu</v>
      </c>
      <c r="D241" s="87">
        <v>43678</v>
      </c>
      <c r="E241" s="87">
        <v>43708</v>
      </c>
      <c r="F241" s="100">
        <v>100</v>
      </c>
      <c r="G241" s="100">
        <v>99.9</v>
      </c>
      <c r="H241" s="101">
        <v>771.5046</v>
      </c>
      <c r="I241" s="101">
        <v>86.4637</v>
      </c>
      <c r="J241" s="39">
        <v>0.024</v>
      </c>
      <c r="K241" s="39">
        <f>$R241+3.3%</f>
        <v>0.0455</v>
      </c>
      <c r="L241" s="39">
        <f>$R241+4.4%</f>
        <v>0.05650000000000001</v>
      </c>
      <c r="M241" s="39">
        <f>$R241+15.5%</f>
        <v>0.1675</v>
      </c>
      <c r="N241" s="36">
        <v>2.4</v>
      </c>
      <c r="O241" s="36">
        <f t="shared" si="11"/>
        <v>4.55</v>
      </c>
      <c r="P241" s="36">
        <f t="shared" si="10"/>
        <v>5.650000000000001</v>
      </c>
      <c r="Q241" s="36">
        <f t="shared" si="7"/>
        <v>16.75</v>
      </c>
      <c r="R241" s="39">
        <v>0.0125</v>
      </c>
    </row>
    <row r="242" spans="1:18" ht="12.75">
      <c r="A242" s="98" t="s">
        <v>2094</v>
      </c>
      <c r="B242" s="99" t="s">
        <v>2095</v>
      </c>
      <c r="C242" s="100" t="str">
        <f t="shared" si="12"/>
        <v>4 lat/a od dnia zakupu</v>
      </c>
      <c r="D242" s="87">
        <v>43709</v>
      </c>
      <c r="E242" s="87">
        <v>43738</v>
      </c>
      <c r="F242" s="100">
        <v>100</v>
      </c>
      <c r="G242" s="100">
        <v>99.9</v>
      </c>
      <c r="H242" s="101">
        <v>712.3893</v>
      </c>
      <c r="I242" s="101">
        <v>79.7241</v>
      </c>
      <c r="J242" s="39">
        <v>0.024</v>
      </c>
      <c r="K242" s="39">
        <f>$R242+3%</f>
        <v>0.042499999999999996</v>
      </c>
      <c r="L242" s="39">
        <f>$R242+5%</f>
        <v>0.0625</v>
      </c>
      <c r="M242" s="39">
        <f>$R242+15.6%</f>
        <v>0.1685</v>
      </c>
      <c r="N242" s="36">
        <v>2.4</v>
      </c>
      <c r="O242" s="36">
        <f t="shared" si="11"/>
        <v>4.25</v>
      </c>
      <c r="P242" s="36">
        <f t="shared" si="10"/>
        <v>6.25</v>
      </c>
      <c r="Q242" s="36">
        <f t="shared" si="7"/>
        <v>16.85</v>
      </c>
      <c r="R242" s="39">
        <v>0.0125</v>
      </c>
    </row>
    <row r="243" spans="1:18" ht="12.75">
      <c r="A243" s="98" t="s">
        <v>2108</v>
      </c>
      <c r="B243" s="99" t="s">
        <v>2109</v>
      </c>
      <c r="C243" s="100" t="str">
        <f t="shared" si="12"/>
        <v>4 lat/a od dnia zakupu</v>
      </c>
      <c r="D243" s="87">
        <v>43739</v>
      </c>
      <c r="E243" s="87">
        <v>43769</v>
      </c>
      <c r="F243" s="100">
        <v>100</v>
      </c>
      <c r="G243" s="100">
        <v>99.9</v>
      </c>
      <c r="H243" s="101">
        <v>850.8311</v>
      </c>
      <c r="I243" s="101">
        <v>92.0669</v>
      </c>
      <c r="J243" s="39">
        <v>0.024</v>
      </c>
      <c r="K243" s="39">
        <f>$R243+2.9%</f>
        <v>0.041499999999999995</v>
      </c>
      <c r="L243" s="39">
        <f>$R243+5.5%</f>
        <v>0.0675</v>
      </c>
      <c r="M243" s="39">
        <f>$R243+16.1%</f>
        <v>0.17350000000000002</v>
      </c>
      <c r="N243" s="36">
        <v>2.4</v>
      </c>
      <c r="O243" s="36">
        <f t="shared" si="11"/>
        <v>4.1499999999999995</v>
      </c>
      <c r="P243" s="36">
        <f t="shared" si="10"/>
        <v>6.75</v>
      </c>
      <c r="Q243" s="36">
        <f t="shared" si="7"/>
        <v>17.35</v>
      </c>
      <c r="R243" s="39">
        <v>0.0125</v>
      </c>
    </row>
    <row r="244" spans="1:18" ht="12.75">
      <c r="A244" s="98" t="s">
        <v>2122</v>
      </c>
      <c r="B244" s="99" t="s">
        <v>2123</v>
      </c>
      <c r="C244" s="100" t="str">
        <f t="shared" si="12"/>
        <v>4 lat/a od dnia zakupu</v>
      </c>
      <c r="D244" s="87">
        <v>43770</v>
      </c>
      <c r="E244" s="87">
        <v>43799</v>
      </c>
      <c r="F244" s="100">
        <v>100</v>
      </c>
      <c r="G244" s="100">
        <v>99.9</v>
      </c>
      <c r="H244" s="101">
        <v>721.9377</v>
      </c>
      <c r="I244" s="101">
        <v>71.8997</v>
      </c>
      <c r="J244" s="39">
        <v>0.024</v>
      </c>
      <c r="K244" s="39">
        <f>$R244+3.2%</f>
        <v>0.0445</v>
      </c>
      <c r="L244" s="39">
        <f>$R244+5.9%</f>
        <v>0.07150000000000001</v>
      </c>
      <c r="M244" s="39">
        <f>$R244+17.2%</f>
        <v>0.1845</v>
      </c>
      <c r="N244" s="36">
        <v>2.4</v>
      </c>
      <c r="O244" s="36">
        <f t="shared" si="11"/>
        <v>4.45</v>
      </c>
      <c r="P244" s="36">
        <f t="shared" si="10"/>
        <v>7.15</v>
      </c>
      <c r="Q244" s="36">
        <f t="shared" si="7"/>
        <v>18.45</v>
      </c>
      <c r="R244" s="39">
        <v>0.0125</v>
      </c>
    </row>
    <row r="245" spans="1:18" ht="12.75">
      <c r="A245" s="103" t="s">
        <v>2136</v>
      </c>
      <c r="B245" s="104" t="s">
        <v>2137</v>
      </c>
      <c r="C245" s="105" t="str">
        <f t="shared" si="12"/>
        <v>4 lat/a od dnia zakupu</v>
      </c>
      <c r="D245" s="92">
        <v>43800</v>
      </c>
      <c r="E245" s="92">
        <v>43830</v>
      </c>
      <c r="F245" s="105">
        <v>100</v>
      </c>
      <c r="G245" s="105">
        <v>99.9</v>
      </c>
      <c r="H245" s="106">
        <v>683.1162</v>
      </c>
      <c r="I245" s="106">
        <v>76.5846</v>
      </c>
      <c r="J245" s="41">
        <v>0.024</v>
      </c>
      <c r="K245" s="41">
        <f>$R245+3.1%</f>
        <v>0.0435</v>
      </c>
      <c r="L245" s="39">
        <f>$R245+6.8%</f>
        <v>0.0805</v>
      </c>
      <c r="M245" s="39">
        <f>$R245+17.9%</f>
        <v>0.1915</v>
      </c>
      <c r="N245" s="38">
        <v>2.4</v>
      </c>
      <c r="O245" s="38">
        <f t="shared" si="11"/>
        <v>4.35</v>
      </c>
      <c r="P245" s="36">
        <f t="shared" si="10"/>
        <v>8.05</v>
      </c>
      <c r="Q245" s="36">
        <f t="shared" si="7"/>
        <v>19.15</v>
      </c>
      <c r="R245" s="41">
        <v>0.0125</v>
      </c>
    </row>
    <row r="246" spans="1:18" ht="12.75">
      <c r="A246" s="126" t="s">
        <v>2151</v>
      </c>
      <c r="B246" s="127" t="s">
        <v>2150</v>
      </c>
      <c r="C246" s="159" t="str">
        <f t="shared" si="12"/>
        <v>4 lat/a od dnia zakupu</v>
      </c>
      <c r="D246" s="136">
        <v>43831</v>
      </c>
      <c r="E246" s="136">
        <v>43861</v>
      </c>
      <c r="F246" s="159">
        <v>100</v>
      </c>
      <c r="G246" s="159">
        <v>99.9</v>
      </c>
      <c r="H246" s="118">
        <v>1139.7371</v>
      </c>
      <c r="I246" s="118">
        <v>89.032</v>
      </c>
      <c r="J246" s="40">
        <v>0.024</v>
      </c>
      <c r="K246" s="40">
        <f>$R246+3%</f>
        <v>0.042499999999999996</v>
      </c>
      <c r="L246" s="40">
        <f>$R246+7.8%</f>
        <v>0.0905</v>
      </c>
      <c r="M246" s="40">
        <f>$R246+17.5%</f>
        <v>0.1875</v>
      </c>
      <c r="N246" s="37">
        <v>2.4</v>
      </c>
      <c r="O246" s="37">
        <f t="shared" si="11"/>
        <v>4.25</v>
      </c>
      <c r="P246" s="37">
        <f t="shared" si="10"/>
        <v>9.049999999999999</v>
      </c>
      <c r="Q246" s="37">
        <f t="shared" si="10"/>
        <v>18.75</v>
      </c>
      <c r="R246" s="40">
        <v>0.0125</v>
      </c>
    </row>
    <row r="247" spans="1:18" ht="12.75">
      <c r="A247" s="98" t="s">
        <v>2164</v>
      </c>
      <c r="B247" s="99" t="s">
        <v>2165</v>
      </c>
      <c r="C247" s="100" t="str">
        <f t="shared" si="12"/>
        <v>4 lat/a od dnia zakupu</v>
      </c>
      <c r="D247" s="87">
        <v>43862</v>
      </c>
      <c r="E247" s="87">
        <v>43889</v>
      </c>
      <c r="F247" s="100">
        <v>100</v>
      </c>
      <c r="G247" s="100">
        <v>99.9</v>
      </c>
      <c r="H247" s="101">
        <v>1081.1326</v>
      </c>
      <c r="I247" s="101">
        <v>148.2891</v>
      </c>
      <c r="J247" s="39">
        <v>0.024</v>
      </c>
      <c r="K247" s="39">
        <f>$R247+2.4%</f>
        <v>0.036500000000000005</v>
      </c>
      <c r="L247" s="39">
        <f>$R247+8.6%</f>
        <v>0.09849999999999999</v>
      </c>
      <c r="M247" s="39">
        <f>$R247+16.6%</f>
        <v>0.17850000000000002</v>
      </c>
      <c r="N247" s="36">
        <v>2.4</v>
      </c>
      <c r="O247" s="36">
        <f t="shared" si="11"/>
        <v>3.6500000000000004</v>
      </c>
      <c r="P247" s="36">
        <f t="shared" si="10"/>
        <v>9.85</v>
      </c>
      <c r="Q247" s="36">
        <f t="shared" si="7"/>
        <v>17.85</v>
      </c>
      <c r="R247" s="39">
        <v>0.0125</v>
      </c>
    </row>
    <row r="248" spans="1:18" ht="12.75">
      <c r="A248" s="98" t="s">
        <v>2175</v>
      </c>
      <c r="B248" s="99" t="s">
        <v>2182</v>
      </c>
      <c r="C248" s="100" t="str">
        <f t="shared" si="12"/>
        <v>4 lat/a od dnia zakupu</v>
      </c>
      <c r="D248" s="87">
        <v>43891</v>
      </c>
      <c r="E248" s="87">
        <v>43921</v>
      </c>
      <c r="F248" s="100">
        <v>100</v>
      </c>
      <c r="G248" s="100">
        <v>99.9</v>
      </c>
      <c r="H248" s="101">
        <v>1185.7972</v>
      </c>
      <c r="I248" s="101">
        <v>120.9916</v>
      </c>
      <c r="J248" s="39">
        <v>0.024</v>
      </c>
      <c r="K248" s="39">
        <f>$R248+2.7%</f>
        <v>0.03950000000000001</v>
      </c>
      <c r="L248" s="39">
        <f>$R248+9.2%</f>
        <v>0.1045</v>
      </c>
      <c r="M248" s="39">
        <f>$R248+17.2%</f>
        <v>0.1845</v>
      </c>
      <c r="N248" s="36">
        <v>2.4</v>
      </c>
      <c r="O248" s="36">
        <f t="shared" si="11"/>
        <v>3.9500000000000006</v>
      </c>
      <c r="P248" s="36">
        <f t="shared" si="10"/>
        <v>10.45</v>
      </c>
      <c r="Q248" s="36">
        <f t="shared" si="7"/>
        <v>18.45</v>
      </c>
      <c r="R248" s="39">
        <v>0.0125</v>
      </c>
    </row>
    <row r="249" spans="1:18" ht="12.75">
      <c r="A249" s="98" t="s">
        <v>2192</v>
      </c>
      <c r="B249" s="99" t="s">
        <v>2193</v>
      </c>
      <c r="C249" s="100" t="str">
        <f t="shared" si="12"/>
        <v>4 lat/a od dnia zakupu</v>
      </c>
      <c r="D249" s="87">
        <v>43922</v>
      </c>
      <c r="E249" s="87">
        <v>43951</v>
      </c>
      <c r="F249" s="100">
        <v>100</v>
      </c>
      <c r="G249" s="100">
        <v>99.9</v>
      </c>
      <c r="H249" s="101">
        <v>2853.4693</v>
      </c>
      <c r="I249" s="101">
        <v>88.4008</v>
      </c>
      <c r="J249" s="39">
        <v>0.024</v>
      </c>
      <c r="K249" s="39">
        <f>$R249+2.4%</f>
        <v>0.036500000000000005</v>
      </c>
      <c r="L249" s="39">
        <f>$R249+8.5%</f>
        <v>0.0975</v>
      </c>
      <c r="M249" s="39">
        <f>$R249+18.4%</f>
        <v>0.1965</v>
      </c>
      <c r="N249" s="36">
        <v>2.4</v>
      </c>
      <c r="O249" s="36">
        <f t="shared" si="11"/>
        <v>3.6500000000000004</v>
      </c>
      <c r="P249" s="36">
        <f t="shared" si="10"/>
        <v>9.75</v>
      </c>
      <c r="Q249" s="36">
        <f t="shared" si="7"/>
        <v>19.650000000000002</v>
      </c>
      <c r="R249" s="39">
        <v>0.0125</v>
      </c>
    </row>
    <row r="250" spans="1:18" ht="12.75">
      <c r="A250" s="98" t="s">
        <v>2206</v>
      </c>
      <c r="B250" s="99" t="s">
        <v>2208</v>
      </c>
      <c r="C250" s="100" t="str">
        <f t="shared" si="12"/>
        <v>4 lat/a od dnia zakupu</v>
      </c>
      <c r="D250" s="87">
        <v>43952</v>
      </c>
      <c r="E250" s="87">
        <v>43982</v>
      </c>
      <c r="F250" s="100">
        <v>100</v>
      </c>
      <c r="G250" s="100">
        <v>99.9</v>
      </c>
      <c r="H250" s="101">
        <v>298.5075</v>
      </c>
      <c r="I250" s="101">
        <v>62.5936</v>
      </c>
      <c r="J250" s="39">
        <v>0.013</v>
      </c>
      <c r="K250" s="39">
        <f>$R250+3.2%</f>
        <v>0.0395</v>
      </c>
      <c r="L250" s="39">
        <f>$R250+11%</f>
        <v>0.1175</v>
      </c>
      <c r="M250" s="39">
        <f>$R250+16.1%</f>
        <v>0.1685</v>
      </c>
      <c r="N250" s="36">
        <v>1.3</v>
      </c>
      <c r="O250" s="36">
        <f t="shared" si="11"/>
        <v>3.95</v>
      </c>
      <c r="P250" s="36">
        <f t="shared" si="10"/>
        <v>11.75</v>
      </c>
      <c r="Q250" s="36">
        <f t="shared" si="7"/>
        <v>16.85</v>
      </c>
      <c r="R250" s="39">
        <v>0.0075</v>
      </c>
    </row>
    <row r="251" spans="1:18" ht="12.75">
      <c r="A251" s="98" t="s">
        <v>2220</v>
      </c>
      <c r="B251" s="99" t="s">
        <v>2221</v>
      </c>
      <c r="C251" s="100" t="str">
        <f t="shared" si="12"/>
        <v>4 lat/a od dnia zakupu</v>
      </c>
      <c r="D251" s="87">
        <v>43983</v>
      </c>
      <c r="E251" s="87">
        <v>44012</v>
      </c>
      <c r="F251" s="100">
        <v>100</v>
      </c>
      <c r="G251" s="100">
        <v>99.9</v>
      </c>
      <c r="H251" s="101">
        <v>408.0365</v>
      </c>
      <c r="I251" s="101">
        <v>62.7704</v>
      </c>
      <c r="J251" s="39">
        <v>0.013</v>
      </c>
      <c r="K251" s="39">
        <f>$R251+4.3%</f>
        <v>0.050499999999999996</v>
      </c>
      <c r="L251" s="39">
        <f>$R251+12.4%</f>
        <v>0.1315</v>
      </c>
      <c r="M251" s="39">
        <f>$R251+14.7%</f>
        <v>0.1545</v>
      </c>
      <c r="N251" s="36">
        <v>1.3</v>
      </c>
      <c r="O251" s="36">
        <f t="shared" si="11"/>
        <v>5.05</v>
      </c>
      <c r="P251" s="36">
        <f t="shared" si="10"/>
        <v>13.15</v>
      </c>
      <c r="Q251" s="36">
        <f t="shared" si="7"/>
        <v>15.45</v>
      </c>
      <c r="R251" s="39">
        <v>0.0075</v>
      </c>
    </row>
    <row r="252" spans="1:18" ht="12.75">
      <c r="A252" s="98" t="s">
        <v>2234</v>
      </c>
      <c r="B252" s="99" t="s">
        <v>2235</v>
      </c>
      <c r="C252" s="100" t="str">
        <f t="shared" si="12"/>
        <v>4 lat/a od dnia zakupu</v>
      </c>
      <c r="D252" s="87">
        <v>44013</v>
      </c>
      <c r="E252" s="87">
        <v>44043</v>
      </c>
      <c r="F252" s="100">
        <v>100</v>
      </c>
      <c r="G252" s="100">
        <v>99.9</v>
      </c>
      <c r="H252" s="101">
        <v>710.8537</v>
      </c>
      <c r="I252" s="101">
        <v>76.497</v>
      </c>
      <c r="J252" s="39">
        <v>0.013</v>
      </c>
      <c r="K252" s="39">
        <f>$R252+4.7%</f>
        <v>0.0545</v>
      </c>
      <c r="L252" s="39">
        <f>$R252+13.9%</f>
        <v>0.14650000000000002</v>
      </c>
      <c r="M252" s="39">
        <f>$R252+13%</f>
        <v>0.1375</v>
      </c>
      <c r="N252" s="36">
        <v>1.3</v>
      </c>
      <c r="O252" s="36">
        <f t="shared" si="11"/>
        <v>5.45</v>
      </c>
      <c r="P252" s="36">
        <f t="shared" si="10"/>
        <v>14.650000000000002</v>
      </c>
      <c r="Q252" s="36">
        <f t="shared" si="7"/>
        <v>13.750000000000002</v>
      </c>
      <c r="R252" s="39">
        <v>0.0075</v>
      </c>
    </row>
    <row r="253" spans="1:18" ht="12.75">
      <c r="A253" s="98" t="s">
        <v>2248</v>
      </c>
      <c r="B253" s="99" t="s">
        <v>2249</v>
      </c>
      <c r="C253" s="100" t="str">
        <f t="shared" si="12"/>
        <v>4 lat/a od dnia zakupu</v>
      </c>
      <c r="D253" s="87">
        <v>44044</v>
      </c>
      <c r="E253" s="87">
        <v>44074</v>
      </c>
      <c r="F253" s="100">
        <v>100</v>
      </c>
      <c r="G253" s="100">
        <v>99.9</v>
      </c>
      <c r="H253" s="101">
        <v>676.7419</v>
      </c>
      <c r="I253" s="101">
        <v>76.7035</v>
      </c>
      <c r="J253" s="39">
        <v>0.013</v>
      </c>
      <c r="K253" s="39">
        <f>$R253+4.4%</f>
        <v>0.051500000000000004</v>
      </c>
      <c r="L253" s="39">
        <f>$R253+15.5%</f>
        <v>0.1625</v>
      </c>
      <c r="M253" s="39">
        <f>$R253+11.5%</f>
        <v>0.1225</v>
      </c>
      <c r="N253" s="36">
        <v>1.3</v>
      </c>
      <c r="O253" s="36">
        <f t="shared" si="11"/>
        <v>5.15</v>
      </c>
      <c r="P253" s="36">
        <f t="shared" si="10"/>
        <v>16.25</v>
      </c>
      <c r="Q253" s="36">
        <f t="shared" si="7"/>
        <v>12.25</v>
      </c>
      <c r="R253" s="39">
        <v>0.0075</v>
      </c>
    </row>
    <row r="254" spans="1:18" ht="12.75">
      <c r="A254" s="98" t="s">
        <v>2262</v>
      </c>
      <c r="B254" s="99" t="s">
        <v>2263</v>
      </c>
      <c r="C254" s="100" t="str">
        <f t="shared" si="12"/>
        <v>4 lat/a od dnia zakupu</v>
      </c>
      <c r="D254" s="87">
        <v>44075</v>
      </c>
      <c r="E254" s="87">
        <v>44104</v>
      </c>
      <c r="F254" s="100">
        <v>100</v>
      </c>
      <c r="G254" s="100">
        <v>99.9</v>
      </c>
      <c r="H254" s="101">
        <v>753.0192</v>
      </c>
      <c r="I254" s="101">
        <v>104.1795</v>
      </c>
      <c r="J254" s="39">
        <v>0.013</v>
      </c>
      <c r="K254" s="39">
        <f>$R254+5%</f>
        <v>0.0575</v>
      </c>
      <c r="L254" s="39">
        <f>$R254+15.6%</f>
        <v>0.1635</v>
      </c>
      <c r="M254" s="39">
        <f>$R254+10.8%</f>
        <v>0.11550000000000002</v>
      </c>
      <c r="N254" s="36">
        <v>1.3</v>
      </c>
      <c r="O254" s="36">
        <f t="shared" si="11"/>
        <v>5.75</v>
      </c>
      <c r="P254" s="36">
        <f t="shared" si="11"/>
        <v>16.35</v>
      </c>
      <c r="Q254" s="36">
        <f t="shared" si="7"/>
        <v>11.550000000000002</v>
      </c>
      <c r="R254" s="39">
        <v>0.0075</v>
      </c>
    </row>
    <row r="255" spans="1:18" ht="12.75">
      <c r="A255" s="98" t="s">
        <v>2276</v>
      </c>
      <c r="B255" s="99" t="s">
        <v>2277</v>
      </c>
      <c r="C255" s="100" t="str">
        <f t="shared" si="12"/>
        <v>4 lat/a od dnia zakupu</v>
      </c>
      <c r="D255" s="87">
        <v>44105</v>
      </c>
      <c r="E255" s="87">
        <v>44135</v>
      </c>
      <c r="F255" s="100">
        <v>100</v>
      </c>
      <c r="G255" s="100">
        <v>99.9</v>
      </c>
      <c r="H255" s="101">
        <v>865.7539</v>
      </c>
      <c r="I255" s="101">
        <v>233.8329</v>
      </c>
      <c r="J255" s="39">
        <v>0.013</v>
      </c>
      <c r="K255" s="39">
        <f>$R255+5.5%</f>
        <v>0.0625</v>
      </c>
      <c r="L255" s="39">
        <f>$R255+16.1%</f>
        <v>0.1685</v>
      </c>
      <c r="M255" s="39">
        <f>$R255+10.1%</f>
        <v>0.10849999999999999</v>
      </c>
      <c r="N255" s="36">
        <v>1.3</v>
      </c>
      <c r="O255" s="36">
        <f t="shared" si="11"/>
        <v>6.25</v>
      </c>
      <c r="P255" s="36">
        <f t="shared" si="11"/>
        <v>16.85</v>
      </c>
      <c r="Q255" s="36">
        <f t="shared" si="7"/>
        <v>10.849999999999998</v>
      </c>
      <c r="R255" s="39">
        <v>0.0075</v>
      </c>
    </row>
    <row r="256" spans="1:18" ht="12.75">
      <c r="A256" s="98" t="s">
        <v>2290</v>
      </c>
      <c r="B256" s="99" t="s">
        <v>2291</v>
      </c>
      <c r="C256" s="100" t="str">
        <f t="shared" si="12"/>
        <v>4 lat/a od dnia zakupu</v>
      </c>
      <c r="D256" s="87">
        <v>44136</v>
      </c>
      <c r="E256" s="87">
        <v>44165</v>
      </c>
      <c r="F256" s="100">
        <v>100</v>
      </c>
      <c r="G256" s="100">
        <v>99.9</v>
      </c>
      <c r="H256" s="101">
        <v>546.2895</v>
      </c>
      <c r="I256" s="101">
        <v>94.2886</v>
      </c>
      <c r="J256" s="39">
        <v>0.013</v>
      </c>
      <c r="K256" s="39">
        <f>$R256+5.9%</f>
        <v>0.0665</v>
      </c>
      <c r="L256" s="39">
        <f>$R256+17.2%</f>
        <v>0.1795</v>
      </c>
      <c r="M256" s="39">
        <f>$R256+8.2%</f>
        <v>0.0895</v>
      </c>
      <c r="N256" s="36">
        <v>1.3</v>
      </c>
      <c r="O256" s="36">
        <f t="shared" si="11"/>
        <v>6.65</v>
      </c>
      <c r="P256" s="36">
        <f t="shared" si="11"/>
        <v>17.95</v>
      </c>
      <c r="Q256" s="36">
        <f t="shared" si="7"/>
        <v>8.95</v>
      </c>
      <c r="R256" s="39">
        <v>0.0075</v>
      </c>
    </row>
    <row r="257" spans="1:18" ht="12.75">
      <c r="A257" s="103" t="s">
        <v>2304</v>
      </c>
      <c r="B257" s="104" t="s">
        <v>2305</v>
      </c>
      <c r="C257" s="105" t="str">
        <f t="shared" si="12"/>
        <v>4 lat/a od dnia zakupu</v>
      </c>
      <c r="D257" s="92">
        <v>44166</v>
      </c>
      <c r="E257" s="92">
        <v>44196</v>
      </c>
      <c r="F257" s="105">
        <v>100</v>
      </c>
      <c r="G257" s="105">
        <v>99.9</v>
      </c>
      <c r="H257" s="106">
        <v>689.5796</v>
      </c>
      <c r="I257" s="106">
        <v>126.4406</v>
      </c>
      <c r="J257" s="41">
        <v>0.013</v>
      </c>
      <c r="K257" s="39">
        <f>$R257+6.8%</f>
        <v>0.07550000000000001</v>
      </c>
      <c r="L257" s="39">
        <f>$R257+17.9%</f>
        <v>0.1865</v>
      </c>
      <c r="M257" s="41">
        <f>$R257+6.6%</f>
        <v>0.07350000000000001</v>
      </c>
      <c r="N257" s="38">
        <v>1.3</v>
      </c>
      <c r="O257" s="36">
        <f t="shared" si="11"/>
        <v>7.550000000000001</v>
      </c>
      <c r="P257" s="36">
        <f t="shared" si="11"/>
        <v>18.65</v>
      </c>
      <c r="Q257" s="36">
        <f t="shared" si="7"/>
        <v>7.350000000000001</v>
      </c>
      <c r="R257" s="41">
        <v>0.0075</v>
      </c>
    </row>
    <row r="258" spans="1:18" ht="12.75">
      <c r="A258" s="126" t="s">
        <v>2315</v>
      </c>
      <c r="B258" s="127" t="s">
        <v>2322</v>
      </c>
      <c r="C258" s="159" t="str">
        <f t="shared" si="12"/>
        <v>4 lat/a od dnia zakupu</v>
      </c>
      <c r="D258" s="136">
        <v>44197</v>
      </c>
      <c r="E258" s="136">
        <v>44227</v>
      </c>
      <c r="F258" s="159">
        <v>100</v>
      </c>
      <c r="G258" s="159">
        <v>99.9</v>
      </c>
      <c r="H258" s="118">
        <v>1074.2554</v>
      </c>
      <c r="I258" s="118">
        <v>166.7181</v>
      </c>
      <c r="J258" s="40">
        <v>0.013</v>
      </c>
      <c r="K258" s="40">
        <f>$R258+7.8%</f>
        <v>0.08549999999999999</v>
      </c>
      <c r="L258" s="40">
        <f>$R258+17.5%</f>
        <v>0.1825</v>
      </c>
      <c r="M258" s="40">
        <f>$R258+6.6%</f>
        <v>0.07350000000000001</v>
      </c>
      <c r="N258" s="37">
        <v>1.3</v>
      </c>
      <c r="O258" s="37">
        <f t="shared" si="11"/>
        <v>8.549999999999999</v>
      </c>
      <c r="P258" s="37">
        <f t="shared" si="11"/>
        <v>18.25</v>
      </c>
      <c r="Q258" s="37">
        <f t="shared" si="7"/>
        <v>7.350000000000001</v>
      </c>
      <c r="R258" s="40">
        <v>0.0075</v>
      </c>
    </row>
    <row r="259" spans="1:18" ht="12.75">
      <c r="A259" s="98" t="s">
        <v>2332</v>
      </c>
      <c r="B259" s="99" t="s">
        <v>2333</v>
      </c>
      <c r="C259" s="100" t="str">
        <f t="shared" si="12"/>
        <v>4 lat/a od dnia zakupu</v>
      </c>
      <c r="D259" s="87">
        <v>44228</v>
      </c>
      <c r="E259" s="87">
        <v>44255</v>
      </c>
      <c r="F259" s="100">
        <v>100</v>
      </c>
      <c r="G259" s="100">
        <v>99.9</v>
      </c>
      <c r="H259" s="101">
        <v>1007.0669</v>
      </c>
      <c r="I259" s="101">
        <v>216.4785</v>
      </c>
      <c r="J259" s="39">
        <v>0.013</v>
      </c>
      <c r="K259" s="39">
        <f>$R259+8.6%</f>
        <v>0.0935</v>
      </c>
      <c r="L259" s="39">
        <f>$R259+16.6%</f>
        <v>0.17350000000000002</v>
      </c>
      <c r="M259" s="39">
        <f>$R259+6.2%</f>
        <v>0.0695</v>
      </c>
      <c r="N259" s="36">
        <v>1.3</v>
      </c>
      <c r="O259" s="36">
        <f t="shared" si="11"/>
        <v>9.35</v>
      </c>
      <c r="P259" s="36">
        <f t="shared" si="11"/>
        <v>17.35</v>
      </c>
      <c r="Q259" s="36">
        <f t="shared" si="7"/>
        <v>6.950000000000001</v>
      </c>
      <c r="R259" s="39">
        <v>0.0075</v>
      </c>
    </row>
    <row r="260" spans="1:18" ht="12.75">
      <c r="A260" s="98" t="s">
        <v>2346</v>
      </c>
      <c r="B260" s="99" t="s">
        <v>2347</v>
      </c>
      <c r="C260" s="100" t="str">
        <f t="shared" si="12"/>
        <v>4 lat/a od dnia zakupu</v>
      </c>
      <c r="D260" s="87">
        <v>44256</v>
      </c>
      <c r="E260" s="87">
        <v>44286</v>
      </c>
      <c r="F260" s="100">
        <v>100</v>
      </c>
      <c r="G260" s="100">
        <v>99.9</v>
      </c>
      <c r="H260" s="101">
        <v>1281.5674</v>
      </c>
      <c r="I260" s="101">
        <v>247.1892</v>
      </c>
      <c r="J260" s="39">
        <v>0.013</v>
      </c>
      <c r="K260" s="39">
        <f>$R260+9.2%</f>
        <v>0.0995</v>
      </c>
      <c r="L260" s="39">
        <f>$R260+17.2%</f>
        <v>0.1795</v>
      </c>
      <c r="M260" s="39">
        <f>$R260+3.9%</f>
        <v>0.0465</v>
      </c>
      <c r="N260" s="36">
        <v>1.3</v>
      </c>
      <c r="O260" s="36">
        <f t="shared" si="11"/>
        <v>9.950000000000001</v>
      </c>
      <c r="P260" s="36">
        <f t="shared" si="11"/>
        <v>17.95</v>
      </c>
      <c r="Q260" s="36">
        <f t="shared" si="7"/>
        <v>4.65</v>
      </c>
      <c r="R260" s="39">
        <v>0.0075</v>
      </c>
    </row>
    <row r="261" spans="1:18" ht="12.75">
      <c r="A261" s="98" t="s">
        <v>2361</v>
      </c>
      <c r="B261" s="99" t="s">
        <v>2360</v>
      </c>
      <c r="C261" s="100" t="str">
        <f t="shared" si="12"/>
        <v>4 lat/a od dnia zakupu</v>
      </c>
      <c r="D261" s="87">
        <v>44287</v>
      </c>
      <c r="E261" s="87">
        <v>44316</v>
      </c>
      <c r="F261" s="100">
        <v>100</v>
      </c>
      <c r="G261" s="100">
        <v>99.9</v>
      </c>
      <c r="H261" s="101">
        <v>1266.9096</v>
      </c>
      <c r="I261" s="101">
        <v>233.3199</v>
      </c>
      <c r="J261" s="39">
        <v>0.013</v>
      </c>
      <c r="K261" s="39">
        <f>$R261+8.5%</f>
        <v>0.0925</v>
      </c>
      <c r="L261" s="39">
        <f>$R261+18.4%</f>
        <v>0.1915</v>
      </c>
      <c r="M261" s="39">
        <f>$R261+2.8%</f>
        <v>0.0355</v>
      </c>
      <c r="N261" s="36">
        <v>1.3</v>
      </c>
      <c r="O261" s="36">
        <f t="shared" si="11"/>
        <v>9.25</v>
      </c>
      <c r="P261" s="36">
        <f t="shared" si="11"/>
        <v>19.15</v>
      </c>
      <c r="Q261" s="36">
        <f t="shared" si="7"/>
        <v>3.55</v>
      </c>
      <c r="R261" s="39">
        <v>0.0075</v>
      </c>
    </row>
    <row r="262" spans="1:18" ht="12.75">
      <c r="A262" s="98" t="s">
        <v>2374</v>
      </c>
      <c r="B262" s="99" t="s">
        <v>2375</v>
      </c>
      <c r="C262" s="100" t="str">
        <f t="shared" si="12"/>
        <v>4 lat/a od dnia zakupu</v>
      </c>
      <c r="D262" s="87">
        <v>44317</v>
      </c>
      <c r="E262" s="87">
        <v>44347</v>
      </c>
      <c r="F262" s="100">
        <v>100</v>
      </c>
      <c r="G262" s="100">
        <v>99.9</v>
      </c>
      <c r="H262" s="101">
        <v>1309.3534</v>
      </c>
      <c r="I262" s="101">
        <v>228.2126</v>
      </c>
      <c r="J262" s="39">
        <v>0.013</v>
      </c>
      <c r="K262" s="39">
        <f>$R262+11%</f>
        <v>0.1175</v>
      </c>
      <c r="L262" s="39">
        <f>$R262+16.1%</f>
        <v>0.1685</v>
      </c>
      <c r="M262" s="39"/>
      <c r="N262" s="36">
        <v>1.3</v>
      </c>
      <c r="O262" s="36">
        <f t="shared" si="11"/>
        <v>11.75</v>
      </c>
      <c r="P262" s="36">
        <f t="shared" si="11"/>
        <v>16.85</v>
      </c>
      <c r="Q262" s="102"/>
      <c r="R262" s="39">
        <v>0.0075</v>
      </c>
    </row>
    <row r="263" spans="1:18" ht="12.75">
      <c r="A263" s="98" t="s">
        <v>2388</v>
      </c>
      <c r="B263" s="99" t="s">
        <v>2389</v>
      </c>
      <c r="C263" s="100" t="str">
        <f t="shared" si="12"/>
        <v>4 lat/a od dnia zakupu</v>
      </c>
      <c r="D263" s="87">
        <v>44348</v>
      </c>
      <c r="E263" s="87">
        <v>44377</v>
      </c>
      <c r="F263" s="100">
        <v>100</v>
      </c>
      <c r="G263" s="100">
        <v>99.9</v>
      </c>
      <c r="H263" s="101">
        <v>1259.0451</v>
      </c>
      <c r="I263" s="101">
        <v>208.7666</v>
      </c>
      <c r="J263" s="39">
        <v>0.013</v>
      </c>
      <c r="K263" s="39">
        <f>$R263+12.4%</f>
        <v>0.1315</v>
      </c>
      <c r="L263" s="39">
        <f>$R263+14.7%</f>
        <v>0.1545</v>
      </c>
      <c r="M263" s="39"/>
      <c r="N263" s="36">
        <v>1.3</v>
      </c>
      <c r="O263" s="36">
        <f t="shared" si="11"/>
        <v>13.15</v>
      </c>
      <c r="P263" s="36">
        <f t="shared" si="11"/>
        <v>15.45</v>
      </c>
      <c r="Q263" s="102"/>
      <c r="R263" s="39">
        <v>0.0075</v>
      </c>
    </row>
    <row r="264" spans="1:18" ht="12.75">
      <c r="A264" s="98" t="s">
        <v>2403</v>
      </c>
      <c r="B264" s="99" t="s">
        <v>2402</v>
      </c>
      <c r="C264" s="100" t="str">
        <f t="shared" si="12"/>
        <v>4 lat/a od dnia zakupu</v>
      </c>
      <c r="D264" s="87">
        <v>44378</v>
      </c>
      <c r="E264" s="87">
        <v>44408</v>
      </c>
      <c r="F264" s="100">
        <v>100</v>
      </c>
      <c r="G264" s="100">
        <v>99.9</v>
      </c>
      <c r="H264" s="101">
        <v>1150</v>
      </c>
      <c r="I264" s="101">
        <v>219.4566</v>
      </c>
      <c r="J264" s="39">
        <v>0.013</v>
      </c>
      <c r="K264" s="39">
        <f>$R264+13.9%</f>
        <v>0.14650000000000002</v>
      </c>
      <c r="L264" s="39">
        <f>$R264+13%</f>
        <v>0.1375</v>
      </c>
      <c r="M264" s="39"/>
      <c r="N264" s="36">
        <v>1.3</v>
      </c>
      <c r="O264" s="36">
        <f t="shared" si="11"/>
        <v>14.650000000000002</v>
      </c>
      <c r="P264" s="36">
        <f t="shared" si="11"/>
        <v>13.750000000000002</v>
      </c>
      <c r="Q264" s="102"/>
      <c r="R264" s="39">
        <v>0.0075</v>
      </c>
    </row>
    <row r="265" spans="1:18" ht="12.75">
      <c r="A265" s="98" t="s">
        <v>2411</v>
      </c>
      <c r="B265" s="99" t="s">
        <v>2420</v>
      </c>
      <c r="C265" s="100" t="str">
        <f t="shared" si="12"/>
        <v>4 lat/a od dnia zakupu</v>
      </c>
      <c r="D265" s="87">
        <v>44409</v>
      </c>
      <c r="E265" s="87">
        <v>44439</v>
      </c>
      <c r="F265" s="100">
        <v>100</v>
      </c>
      <c r="G265" s="100">
        <v>99.9</v>
      </c>
      <c r="H265" s="101">
        <v>1165.028</v>
      </c>
      <c r="I265" s="101">
        <v>214.3904</v>
      </c>
      <c r="J265" s="39">
        <v>0.013</v>
      </c>
      <c r="K265" s="39">
        <f>$R265+15.5%</f>
        <v>0.1625</v>
      </c>
      <c r="L265" s="39">
        <f>$R265+11.5%</f>
        <v>0.1225</v>
      </c>
      <c r="M265" s="39"/>
      <c r="N265" s="36">
        <v>1.3</v>
      </c>
      <c r="O265" s="36">
        <f t="shared" si="11"/>
        <v>16.25</v>
      </c>
      <c r="P265" s="36">
        <f t="shared" si="11"/>
        <v>12.25</v>
      </c>
      <c r="Q265" s="102"/>
      <c r="R265" s="39">
        <v>0.0075</v>
      </c>
    </row>
    <row r="266" spans="1:18" ht="12.75">
      <c r="A266" s="98" t="s">
        <v>2430</v>
      </c>
      <c r="B266" s="99" t="s">
        <v>2431</v>
      </c>
      <c r="C266" s="100" t="str">
        <f t="shared" si="12"/>
        <v>4 lat/a od dnia zakupu</v>
      </c>
      <c r="D266" s="87">
        <v>44440</v>
      </c>
      <c r="E266" s="87">
        <v>44469</v>
      </c>
      <c r="F266" s="100">
        <v>100</v>
      </c>
      <c r="G266" s="100">
        <v>99.9</v>
      </c>
      <c r="H266" s="101">
        <v>1242.2525</v>
      </c>
      <c r="I266" s="101">
        <v>196.9192</v>
      </c>
      <c r="J266" s="39">
        <v>0.013</v>
      </c>
      <c r="K266" s="39">
        <f>$R266+15.6%</f>
        <v>0.1635</v>
      </c>
      <c r="L266" s="39">
        <f>$R266+10.8%</f>
        <v>0.11550000000000002</v>
      </c>
      <c r="M266" s="39"/>
      <c r="N266" s="36">
        <v>1.3</v>
      </c>
      <c r="O266" s="36">
        <f aca="true" t="shared" si="13" ref="O266:P273">K266*100</f>
        <v>16.35</v>
      </c>
      <c r="P266" s="36">
        <f t="shared" si="13"/>
        <v>11.550000000000002</v>
      </c>
      <c r="Q266" s="102"/>
      <c r="R266" s="39">
        <v>0.0075</v>
      </c>
    </row>
    <row r="267" spans="1:18" ht="12.75">
      <c r="A267" s="98" t="s">
        <v>2444</v>
      </c>
      <c r="B267" s="99" t="s">
        <v>2445</v>
      </c>
      <c r="C267" s="100" t="str">
        <f t="shared" si="12"/>
        <v>4 lat/a od dnia zakupu</v>
      </c>
      <c r="D267" s="87">
        <v>44470</v>
      </c>
      <c r="E267" s="87">
        <v>44500</v>
      </c>
      <c r="F267" s="100">
        <v>100</v>
      </c>
      <c r="G267" s="100">
        <v>99.9</v>
      </c>
      <c r="H267" s="101">
        <v>1222.7163</v>
      </c>
      <c r="I267" s="101">
        <v>301.7244</v>
      </c>
      <c r="J267" s="39">
        <v>0.013</v>
      </c>
      <c r="K267" s="39">
        <f>$R267+16.1%</f>
        <v>0.1685</v>
      </c>
      <c r="L267" s="39">
        <f>$R267+10.1%</f>
        <v>0.10849999999999999</v>
      </c>
      <c r="M267" s="39"/>
      <c r="N267" s="36">
        <v>1.3</v>
      </c>
      <c r="O267" s="36">
        <f t="shared" si="13"/>
        <v>16.85</v>
      </c>
      <c r="P267" s="36">
        <f t="shared" si="13"/>
        <v>10.849999999999998</v>
      </c>
      <c r="Q267" s="102"/>
      <c r="R267" s="39">
        <v>0.0075</v>
      </c>
    </row>
    <row r="268" spans="1:18" ht="12.75">
      <c r="A268" s="98" t="s">
        <v>2455</v>
      </c>
      <c r="B268" s="99" t="s">
        <v>2462</v>
      </c>
      <c r="C268" s="100" t="str">
        <f t="shared" si="12"/>
        <v>4 lat/a od dnia zakupu</v>
      </c>
      <c r="D268" s="87">
        <v>44501</v>
      </c>
      <c r="E268" s="87">
        <v>44530</v>
      </c>
      <c r="F268" s="100">
        <v>100</v>
      </c>
      <c r="G268" s="100">
        <v>99.9</v>
      </c>
      <c r="H268" s="101">
        <v>1096.9795</v>
      </c>
      <c r="I268" s="101">
        <v>195.6345</v>
      </c>
      <c r="J268" s="39">
        <v>0.013</v>
      </c>
      <c r="K268" s="39">
        <f>$R268+17.2%</f>
        <v>0.1795</v>
      </c>
      <c r="L268" s="39">
        <f>$R268+8.2%</f>
        <v>0.0895</v>
      </c>
      <c r="M268" s="39"/>
      <c r="N268" s="36">
        <v>1.3</v>
      </c>
      <c r="O268" s="36">
        <f t="shared" si="13"/>
        <v>17.95</v>
      </c>
      <c r="P268" s="36">
        <f t="shared" si="13"/>
        <v>8.95</v>
      </c>
      <c r="Q268" s="102"/>
      <c r="R268" s="39">
        <v>0.0075</v>
      </c>
    </row>
    <row r="269" spans="1:18" ht="12.75">
      <c r="A269" s="103" t="s">
        <v>2472</v>
      </c>
      <c r="B269" s="104" t="s">
        <v>2473</v>
      </c>
      <c r="C269" s="105" t="str">
        <f t="shared" si="12"/>
        <v>4 lat/a od dnia zakupu</v>
      </c>
      <c r="D269" s="92">
        <v>44531</v>
      </c>
      <c r="E269" s="92">
        <v>44561</v>
      </c>
      <c r="F269" s="105">
        <v>100</v>
      </c>
      <c r="G269" s="105">
        <v>99.9</v>
      </c>
      <c r="H269" s="106">
        <v>1139.8985</v>
      </c>
      <c r="I269" s="106">
        <v>185.5171</v>
      </c>
      <c r="J269" s="41">
        <v>0.013</v>
      </c>
      <c r="K269" s="39">
        <f>$R269+17.9%</f>
        <v>0.1865</v>
      </c>
      <c r="L269" s="41">
        <f>$R269+6.6%</f>
        <v>0.07350000000000001</v>
      </c>
      <c r="M269" s="68"/>
      <c r="N269" s="38">
        <v>1.3</v>
      </c>
      <c r="O269" s="36">
        <f t="shared" si="13"/>
        <v>18.65</v>
      </c>
      <c r="P269" s="36">
        <f t="shared" si="13"/>
        <v>7.350000000000001</v>
      </c>
      <c r="Q269" s="107"/>
      <c r="R269" s="41">
        <v>0.0075</v>
      </c>
    </row>
    <row r="270" spans="1:18" ht="12.75">
      <c r="A270" s="126" t="s">
        <v>2486</v>
      </c>
      <c r="B270" s="127" t="s">
        <v>2487</v>
      </c>
      <c r="C270" s="159" t="str">
        <f t="shared" si="12"/>
        <v>4 lat/a od dnia zakupu</v>
      </c>
      <c r="D270" s="136">
        <v>44562</v>
      </c>
      <c r="E270" s="136">
        <v>44592</v>
      </c>
      <c r="F270" s="159">
        <v>100</v>
      </c>
      <c r="G270" s="159">
        <v>99.9</v>
      </c>
      <c r="H270" s="118">
        <v>1026.9824</v>
      </c>
      <c r="I270" s="118">
        <v>202.7371</v>
      </c>
      <c r="J270" s="40">
        <v>0.013</v>
      </c>
      <c r="K270" s="40">
        <f>$R270+17.5%</f>
        <v>0.1825</v>
      </c>
      <c r="L270" s="40">
        <f>$R270+6.6%</f>
        <v>0.07350000000000001</v>
      </c>
      <c r="M270" s="75"/>
      <c r="N270" s="37">
        <v>1.3</v>
      </c>
      <c r="O270" s="37">
        <f aca="true" t="shared" si="14" ref="O270:O285">K270*100</f>
        <v>18.25</v>
      </c>
      <c r="P270" s="37">
        <f t="shared" si="13"/>
        <v>7.350000000000001</v>
      </c>
      <c r="Q270" s="130"/>
      <c r="R270" s="40">
        <v>0.0075</v>
      </c>
    </row>
    <row r="271" spans="1:18" ht="12.75">
      <c r="A271" s="98" t="s">
        <v>2500</v>
      </c>
      <c r="B271" s="99" t="s">
        <v>2501</v>
      </c>
      <c r="C271" s="100" t="str">
        <f t="shared" si="12"/>
        <v>4 lat/a od dnia zakupu</v>
      </c>
      <c r="D271" s="87">
        <v>44593</v>
      </c>
      <c r="E271" s="87">
        <v>44620</v>
      </c>
      <c r="F271" s="100">
        <v>100</v>
      </c>
      <c r="G271" s="100">
        <v>99.9</v>
      </c>
      <c r="H271" s="101">
        <v>1917.6605</v>
      </c>
      <c r="I271" s="101">
        <v>258.1057</v>
      </c>
      <c r="J271" s="39">
        <v>0.018</v>
      </c>
      <c r="K271" s="39">
        <f>$R271+16.6%</f>
        <v>0.17600000000000002</v>
      </c>
      <c r="L271" s="39">
        <f>$R271+6.2%</f>
        <v>0.072</v>
      </c>
      <c r="M271" s="39"/>
      <c r="N271" s="36">
        <v>1.8</v>
      </c>
      <c r="O271" s="36">
        <f t="shared" si="14"/>
        <v>17.6</v>
      </c>
      <c r="P271" s="36">
        <f t="shared" si="13"/>
        <v>7.199999999999999</v>
      </c>
      <c r="Q271" s="102"/>
      <c r="R271" s="39">
        <v>0.01</v>
      </c>
    </row>
    <row r="272" spans="1:18" ht="12.75">
      <c r="A272" s="98" t="s">
        <v>2517</v>
      </c>
      <c r="B272" s="99" t="s">
        <v>2518</v>
      </c>
      <c r="C272" s="100" t="str">
        <f t="shared" si="12"/>
        <v>4 lat/a od dnia zakupu</v>
      </c>
      <c r="D272" s="87">
        <v>44621</v>
      </c>
      <c r="E272" s="87">
        <v>44651</v>
      </c>
      <c r="F272" s="100">
        <v>100</v>
      </c>
      <c r="G272" s="100">
        <v>99.9</v>
      </c>
      <c r="H272" s="101">
        <v>844.3573</v>
      </c>
      <c r="I272" s="101">
        <v>156.9818</v>
      </c>
      <c r="J272" s="39">
        <v>0.018</v>
      </c>
      <c r="K272" s="39">
        <f>$R272+17.2%</f>
        <v>0.182</v>
      </c>
      <c r="L272" s="39">
        <f>$R272+3.9%</f>
        <v>0.049</v>
      </c>
      <c r="M272" s="39"/>
      <c r="N272" s="36">
        <v>1.8</v>
      </c>
      <c r="O272" s="36">
        <f t="shared" si="14"/>
        <v>18.2</v>
      </c>
      <c r="P272" s="36">
        <f t="shared" si="13"/>
        <v>4.9</v>
      </c>
      <c r="Q272" s="102"/>
      <c r="R272" s="39">
        <v>0.01</v>
      </c>
    </row>
    <row r="273" spans="1:18" ht="12.75">
      <c r="A273" s="98" t="s">
        <v>2531</v>
      </c>
      <c r="B273" s="99" t="s">
        <v>2532</v>
      </c>
      <c r="C273" s="100" t="str">
        <f t="shared" si="12"/>
        <v>4 lat/a od dnia zakupu</v>
      </c>
      <c r="D273" s="87">
        <v>44652</v>
      </c>
      <c r="E273" s="87">
        <v>44681</v>
      </c>
      <c r="F273" s="100">
        <v>100</v>
      </c>
      <c r="G273" s="100">
        <v>99.9</v>
      </c>
      <c r="H273" s="101">
        <v>1347.4006</v>
      </c>
      <c r="I273" s="101">
        <v>306.1258</v>
      </c>
      <c r="J273" s="39">
        <v>0.023</v>
      </c>
      <c r="K273" s="39">
        <f>$R273+18.4%</f>
        <v>0.194</v>
      </c>
      <c r="L273" s="39">
        <f>$R273+2.8%</f>
        <v>0.038</v>
      </c>
      <c r="M273" s="39"/>
      <c r="N273" s="36">
        <v>2.3</v>
      </c>
      <c r="O273" s="36">
        <f t="shared" si="14"/>
        <v>19.400000000000002</v>
      </c>
      <c r="P273" s="36">
        <f t="shared" si="13"/>
        <v>3.8</v>
      </c>
      <c r="Q273" s="102"/>
      <c r="R273" s="39">
        <v>0.01</v>
      </c>
    </row>
    <row r="274" spans="1:18" ht="12.75">
      <c r="A274" s="98" t="s">
        <v>2545</v>
      </c>
      <c r="B274" s="99" t="s">
        <v>2546</v>
      </c>
      <c r="C274" s="100" t="str">
        <f t="shared" si="12"/>
        <v>4 lat/a od dnia zakupu</v>
      </c>
      <c r="D274" s="87">
        <v>44682</v>
      </c>
      <c r="E274" s="87">
        <v>44712</v>
      </c>
      <c r="F274" s="100">
        <v>100</v>
      </c>
      <c r="G274" s="100">
        <v>99.9</v>
      </c>
      <c r="H274" s="101">
        <v>1176.5846</v>
      </c>
      <c r="I274" s="101">
        <v>110.1119</v>
      </c>
      <c r="J274" s="39">
        <v>0.033</v>
      </c>
      <c r="K274" s="39">
        <f>$R274+16.1%</f>
        <v>0.171</v>
      </c>
      <c r="L274" s="39"/>
      <c r="M274" s="39"/>
      <c r="N274" s="36">
        <v>3.3</v>
      </c>
      <c r="O274" s="36">
        <f t="shared" si="14"/>
        <v>17.1</v>
      </c>
      <c r="P274" s="36"/>
      <c r="Q274" s="102"/>
      <c r="R274" s="39">
        <v>0.01</v>
      </c>
    </row>
    <row r="275" spans="1:18" ht="12.75">
      <c r="A275" s="98" t="s">
        <v>2622</v>
      </c>
      <c r="B275" s="99" t="s">
        <v>2623</v>
      </c>
      <c r="C275" s="100" t="str">
        <f t="shared" si="12"/>
        <v>4 lat/a od dnia zakupu</v>
      </c>
      <c r="D275" s="87">
        <v>44713</v>
      </c>
      <c r="E275" s="87">
        <v>44742</v>
      </c>
      <c r="F275" s="100">
        <v>100</v>
      </c>
      <c r="G275" s="100">
        <v>99.9</v>
      </c>
      <c r="H275" s="101">
        <v>4825.6565</v>
      </c>
      <c r="I275" s="101">
        <v>142.0138</v>
      </c>
      <c r="J275" s="39">
        <v>0.055</v>
      </c>
      <c r="K275" s="39">
        <f>$R275+14.7%</f>
        <v>0.157</v>
      </c>
      <c r="L275" s="39"/>
      <c r="M275" s="39"/>
      <c r="N275" s="36">
        <v>5.5</v>
      </c>
      <c r="O275" s="36">
        <f t="shared" si="14"/>
        <v>15.7</v>
      </c>
      <c r="P275" s="36"/>
      <c r="Q275" s="102"/>
      <c r="R275" s="39">
        <v>0.01</v>
      </c>
    </row>
    <row r="276" spans="1:18" ht="12.75">
      <c r="A276" s="98" t="s">
        <v>2638</v>
      </c>
      <c r="B276" s="99" t="s">
        <v>2639</v>
      </c>
      <c r="C276" s="100" t="str">
        <f t="shared" si="12"/>
        <v>4 lat/a od dnia zakupu</v>
      </c>
      <c r="D276" s="87">
        <v>44743</v>
      </c>
      <c r="E276" s="87">
        <v>44773</v>
      </c>
      <c r="F276" s="100">
        <v>100</v>
      </c>
      <c r="G276" s="100">
        <v>99.9</v>
      </c>
      <c r="H276" s="101">
        <v>4706.6479</v>
      </c>
      <c r="I276" s="101">
        <v>252.343</v>
      </c>
      <c r="J276" s="39">
        <v>0.06</v>
      </c>
      <c r="K276" s="39">
        <f>$R276+13%</f>
        <v>0.14</v>
      </c>
      <c r="L276" s="39"/>
      <c r="M276" s="39"/>
      <c r="N276" s="36">
        <v>6</v>
      </c>
      <c r="O276" s="36">
        <f t="shared" si="14"/>
        <v>14.000000000000002</v>
      </c>
      <c r="P276" s="36"/>
      <c r="Q276" s="102"/>
      <c r="R276" s="39">
        <v>0.01</v>
      </c>
    </row>
    <row r="277" spans="1:18" ht="12.75">
      <c r="A277" s="98" t="s">
        <v>2711</v>
      </c>
      <c r="B277" s="99" t="s">
        <v>2712</v>
      </c>
      <c r="C277" s="100" t="str">
        <f t="shared" si="12"/>
        <v>4 lat/a od dnia zakupu</v>
      </c>
      <c r="D277" s="87">
        <v>44774</v>
      </c>
      <c r="E277" s="87">
        <v>44804</v>
      </c>
      <c r="F277" s="100">
        <v>100</v>
      </c>
      <c r="G277" s="100">
        <v>99.9</v>
      </c>
      <c r="H277" s="101">
        <v>2904.024</v>
      </c>
      <c r="I277" s="101">
        <v>176.826</v>
      </c>
      <c r="J277" s="39">
        <v>0.065</v>
      </c>
      <c r="K277" s="39">
        <f>$R277+11.5%</f>
        <v>0.125</v>
      </c>
      <c r="L277" s="39"/>
      <c r="M277" s="39"/>
      <c r="N277" s="36">
        <v>6.5</v>
      </c>
      <c r="O277" s="36">
        <f t="shared" si="14"/>
        <v>12.5</v>
      </c>
      <c r="P277" s="36"/>
      <c r="Q277" s="102"/>
      <c r="R277" s="39">
        <v>0.01</v>
      </c>
    </row>
    <row r="278" spans="1:18" ht="12.75">
      <c r="A278" s="98" t="s">
        <v>2713</v>
      </c>
      <c r="B278" s="99" t="s">
        <v>2714</v>
      </c>
      <c r="C278" s="100" t="str">
        <f t="shared" si="12"/>
        <v>4 lat/a od dnia zakupu</v>
      </c>
      <c r="D278" s="87">
        <v>44805</v>
      </c>
      <c r="E278" s="87">
        <v>44834</v>
      </c>
      <c r="F278" s="100">
        <v>100</v>
      </c>
      <c r="G278" s="100">
        <v>99.9</v>
      </c>
      <c r="H278" s="101">
        <v>1227.7451</v>
      </c>
      <c r="I278" s="101">
        <v>156.98</v>
      </c>
      <c r="J278" s="39">
        <v>0.065</v>
      </c>
      <c r="K278" s="39">
        <f>$R278+10.8%</f>
        <v>0.11800000000000001</v>
      </c>
      <c r="L278" s="39"/>
      <c r="M278" s="39"/>
      <c r="N278" s="36">
        <v>6.5</v>
      </c>
      <c r="O278" s="36">
        <f t="shared" si="14"/>
        <v>11.8</v>
      </c>
      <c r="P278" s="36"/>
      <c r="Q278" s="102"/>
      <c r="R278" s="39">
        <v>0.01</v>
      </c>
    </row>
    <row r="279" spans="1:18" ht="12.75">
      <c r="A279" s="98" t="s">
        <v>2715</v>
      </c>
      <c r="B279" s="99" t="s">
        <v>2716</v>
      </c>
      <c r="C279" s="100" t="str">
        <f t="shared" si="12"/>
        <v>4 lat/a od dnia zakupu</v>
      </c>
      <c r="D279" s="87">
        <v>44835</v>
      </c>
      <c r="E279" s="87">
        <v>44865</v>
      </c>
      <c r="F279" s="100">
        <v>100</v>
      </c>
      <c r="G279" s="100">
        <v>99.9</v>
      </c>
      <c r="H279" s="101">
        <v>1859.3005</v>
      </c>
      <c r="I279" s="101">
        <v>227.4618</v>
      </c>
      <c r="J279" s="39">
        <v>0.07</v>
      </c>
      <c r="K279" s="39">
        <f>$R279+10.1%</f>
        <v>0.11099999999999999</v>
      </c>
      <c r="L279" s="39"/>
      <c r="M279" s="39"/>
      <c r="N279" s="36">
        <v>7</v>
      </c>
      <c r="O279" s="36">
        <f t="shared" si="14"/>
        <v>11.099999999999998</v>
      </c>
      <c r="P279" s="36"/>
      <c r="Q279" s="102"/>
      <c r="R279" s="39">
        <v>0.01</v>
      </c>
    </row>
    <row r="280" spans="1:18" ht="12.75">
      <c r="A280" s="98" t="s">
        <v>2717</v>
      </c>
      <c r="B280" s="99" t="s">
        <v>2718</v>
      </c>
      <c r="C280" s="100" t="str">
        <f t="shared" si="12"/>
        <v>4 lat/a od dnia zakupu</v>
      </c>
      <c r="D280" s="87">
        <v>44866</v>
      </c>
      <c r="E280" s="87">
        <v>44895</v>
      </c>
      <c r="F280" s="100">
        <v>100</v>
      </c>
      <c r="G280" s="100">
        <v>99.9</v>
      </c>
      <c r="H280" s="101">
        <v>1224.9874</v>
      </c>
      <c r="I280" s="101">
        <v>183.4518</v>
      </c>
      <c r="J280" s="39">
        <v>0.07</v>
      </c>
      <c r="K280" s="39">
        <f>$R280+8.2%</f>
        <v>0.09199999999999998</v>
      </c>
      <c r="L280" s="39"/>
      <c r="M280" s="39"/>
      <c r="N280" s="36">
        <v>7</v>
      </c>
      <c r="O280" s="36">
        <f t="shared" si="14"/>
        <v>9.2</v>
      </c>
      <c r="P280" s="36"/>
      <c r="Q280" s="102"/>
      <c r="R280" s="39">
        <v>0.01</v>
      </c>
    </row>
    <row r="281" spans="1:18" ht="12.75">
      <c r="A281" s="103" t="s">
        <v>2719</v>
      </c>
      <c r="B281" s="104" t="s">
        <v>2720</v>
      </c>
      <c r="C281" s="105" t="str">
        <f t="shared" si="12"/>
        <v>4 lat/a od dnia zakupu</v>
      </c>
      <c r="D281" s="92">
        <v>44896</v>
      </c>
      <c r="E281" s="92">
        <v>44926</v>
      </c>
      <c r="F281" s="105">
        <v>100</v>
      </c>
      <c r="G281" s="105">
        <v>99.9</v>
      </c>
      <c r="H281" s="106">
        <v>1093.1494</v>
      </c>
      <c r="I281" s="106">
        <v>175.6612</v>
      </c>
      <c r="J281" s="41">
        <v>0.07</v>
      </c>
      <c r="K281" s="41">
        <f>$R281+6.6%</f>
        <v>0.076</v>
      </c>
      <c r="L281" s="68"/>
      <c r="M281" s="68"/>
      <c r="N281" s="38">
        <v>7</v>
      </c>
      <c r="O281" s="38">
        <f t="shared" si="14"/>
        <v>7.6</v>
      </c>
      <c r="P281" s="38"/>
      <c r="Q281" s="107"/>
      <c r="R281" s="41">
        <v>0.01</v>
      </c>
    </row>
    <row r="282" spans="1:18" ht="12.75">
      <c r="A282" s="98" t="s">
        <v>2721</v>
      </c>
      <c r="B282" s="99" t="s">
        <v>2722</v>
      </c>
      <c r="C282" s="100" t="str">
        <f t="shared" si="12"/>
        <v>4 lat/a od dnia zakupu</v>
      </c>
      <c r="D282" s="87">
        <v>44927</v>
      </c>
      <c r="E282" s="87">
        <v>44957</v>
      </c>
      <c r="F282" s="100">
        <v>100</v>
      </c>
      <c r="G282" s="100">
        <v>99.9</v>
      </c>
      <c r="H282" s="101">
        <v>1340.3318000000002</v>
      </c>
      <c r="I282" s="101">
        <v>177.917</v>
      </c>
      <c r="J282" s="39">
        <v>0.07</v>
      </c>
      <c r="K282" s="40">
        <f>$R282+6.6%</f>
        <v>0.076</v>
      </c>
      <c r="L282" s="40"/>
      <c r="M282" s="40"/>
      <c r="N282" s="36">
        <v>7</v>
      </c>
      <c r="O282" s="36">
        <f t="shared" si="14"/>
        <v>7.6</v>
      </c>
      <c r="P282" s="36"/>
      <c r="Q282" s="102"/>
      <c r="R282" s="39">
        <v>0.01</v>
      </c>
    </row>
    <row r="283" spans="1:18" ht="12.75">
      <c r="A283" s="98" t="s">
        <v>2723</v>
      </c>
      <c r="B283" s="99" t="s">
        <v>2724</v>
      </c>
      <c r="C283" s="100" t="str">
        <f t="shared" si="12"/>
        <v>4 lat/a od dnia zakupu</v>
      </c>
      <c r="D283" s="87">
        <v>44958</v>
      </c>
      <c r="E283" s="87">
        <v>44985</v>
      </c>
      <c r="F283" s="100">
        <v>100</v>
      </c>
      <c r="G283" s="100">
        <v>99.9</v>
      </c>
      <c r="H283" s="101">
        <v>1203.2517</v>
      </c>
      <c r="I283" s="101">
        <v>137.3202</v>
      </c>
      <c r="J283" s="39">
        <v>0.07</v>
      </c>
      <c r="K283" s="39">
        <f>$R283+6.2%</f>
        <v>0.072</v>
      </c>
      <c r="L283" s="39"/>
      <c r="M283" s="39"/>
      <c r="N283" s="36">
        <v>7</v>
      </c>
      <c r="O283" s="36">
        <f t="shared" si="14"/>
        <v>7.199999999999999</v>
      </c>
      <c r="P283" s="36"/>
      <c r="Q283" s="102"/>
      <c r="R283" s="39">
        <v>0.01</v>
      </c>
    </row>
    <row r="284" spans="1:18" ht="12.75">
      <c r="A284" s="98" t="s">
        <v>2725</v>
      </c>
      <c r="B284" s="99" t="s">
        <v>2726</v>
      </c>
      <c r="C284" s="100" t="str">
        <f t="shared" si="12"/>
        <v>4 lat/a od dnia zakupu</v>
      </c>
      <c r="D284" s="87">
        <v>44986</v>
      </c>
      <c r="E284" s="87">
        <v>45016</v>
      </c>
      <c r="F284" s="100">
        <v>100</v>
      </c>
      <c r="G284" s="100">
        <v>99.9</v>
      </c>
      <c r="H284" s="101">
        <v>1500.4096</v>
      </c>
      <c r="I284" s="101">
        <v>152.0287</v>
      </c>
      <c r="J284" s="39">
        <v>0.07</v>
      </c>
      <c r="K284" s="39">
        <f>$R284+3.9%</f>
        <v>0.049</v>
      </c>
      <c r="L284" s="39"/>
      <c r="M284" s="39"/>
      <c r="N284" s="36">
        <v>7</v>
      </c>
      <c r="O284" s="36">
        <f t="shared" si="14"/>
        <v>4.9</v>
      </c>
      <c r="P284" s="36"/>
      <c r="Q284" s="102"/>
      <c r="R284" s="39">
        <v>0.01</v>
      </c>
    </row>
    <row r="285" spans="1:18" ht="12.75">
      <c r="A285" s="98" t="s">
        <v>2727</v>
      </c>
      <c r="B285" s="99" t="s">
        <v>2728</v>
      </c>
      <c r="C285" s="100" t="str">
        <f t="shared" si="12"/>
        <v>4 lat/a od dnia zakupu</v>
      </c>
      <c r="D285" s="87">
        <v>45017</v>
      </c>
      <c r="E285" s="87">
        <v>45046</v>
      </c>
      <c r="F285" s="100">
        <v>100</v>
      </c>
      <c r="G285" s="100">
        <v>99.9</v>
      </c>
      <c r="H285" s="101">
        <v>1343.0340999999999</v>
      </c>
      <c r="I285" s="101">
        <v>213.65019999999998</v>
      </c>
      <c r="J285" s="39">
        <v>0.07</v>
      </c>
      <c r="K285" s="39">
        <f>$R285+2.8%</f>
        <v>0.038</v>
      </c>
      <c r="L285" s="39"/>
      <c r="M285" s="39"/>
      <c r="N285" s="36">
        <v>7</v>
      </c>
      <c r="O285" s="36">
        <f t="shared" si="14"/>
        <v>3.8</v>
      </c>
      <c r="P285" s="36"/>
      <c r="Q285" s="102"/>
      <c r="R285" s="39">
        <v>0.01</v>
      </c>
    </row>
    <row r="286" spans="1:18" ht="12.75">
      <c r="A286" s="98" t="s">
        <v>2729</v>
      </c>
      <c r="B286" s="99" t="s">
        <v>2730</v>
      </c>
      <c r="C286" s="100" t="str">
        <f t="shared" si="12"/>
        <v>4 lat/a od dnia zakupu</v>
      </c>
      <c r="D286" s="87">
        <v>45047</v>
      </c>
      <c r="E286" s="87">
        <v>45077</v>
      </c>
      <c r="F286" s="100">
        <v>100</v>
      </c>
      <c r="G286" s="100">
        <v>99.9</v>
      </c>
      <c r="H286" s="101">
        <v>1367.02</v>
      </c>
      <c r="I286" s="101">
        <v>168.54620000000003</v>
      </c>
      <c r="J286" s="39">
        <v>0.07</v>
      </c>
      <c r="K286" s="39"/>
      <c r="L286" s="39"/>
      <c r="M286" s="39"/>
      <c r="N286" s="36">
        <v>7</v>
      </c>
      <c r="O286" s="36"/>
      <c r="P286" s="36"/>
      <c r="Q286" s="102"/>
      <c r="R286" s="39">
        <v>0.01</v>
      </c>
    </row>
    <row r="287" spans="1:18" ht="12.75">
      <c r="A287" s="98" t="s">
        <v>2731</v>
      </c>
      <c r="B287" s="99" t="s">
        <v>2732</v>
      </c>
      <c r="C287" s="100" t="str">
        <f t="shared" si="12"/>
        <v>4 lat/a od dnia zakupu</v>
      </c>
      <c r="D287" s="87">
        <v>45078</v>
      </c>
      <c r="E287" s="87">
        <v>45107</v>
      </c>
      <c r="F287" s="100">
        <v>100</v>
      </c>
      <c r="G287" s="100">
        <v>99.5</v>
      </c>
      <c r="H287" s="101">
        <v>2053.5865</v>
      </c>
      <c r="I287" s="101">
        <v>757.541</v>
      </c>
      <c r="J287" s="39">
        <v>0.07</v>
      </c>
      <c r="K287" s="39"/>
      <c r="L287" s="39"/>
      <c r="M287" s="39"/>
      <c r="N287" s="36">
        <v>7</v>
      </c>
      <c r="O287" s="36"/>
      <c r="P287" s="36"/>
      <c r="Q287" s="102"/>
      <c r="R287" s="39">
        <v>0.01</v>
      </c>
    </row>
    <row r="288" spans="1:18" ht="12.75">
      <c r="A288" s="98" t="s">
        <v>2733</v>
      </c>
      <c r="B288" s="99" t="s">
        <v>2734</v>
      </c>
      <c r="C288" s="100" t="str">
        <f t="shared" si="12"/>
        <v>4 lat/a od dnia zakupu</v>
      </c>
      <c r="D288" s="87">
        <v>45108</v>
      </c>
      <c r="E288" s="87">
        <v>45138</v>
      </c>
      <c r="F288" s="100">
        <v>100</v>
      </c>
      <c r="G288" s="100">
        <v>99.5</v>
      </c>
      <c r="H288" s="101">
        <v>2057.1475</v>
      </c>
      <c r="I288" s="101">
        <v>609.6033</v>
      </c>
      <c r="J288" s="39">
        <v>0.07</v>
      </c>
      <c r="K288" s="39"/>
      <c r="L288" s="39"/>
      <c r="M288" s="39"/>
      <c r="N288" s="36">
        <v>7</v>
      </c>
      <c r="O288" s="36"/>
      <c r="P288" s="36"/>
      <c r="Q288" s="102"/>
      <c r="R288" s="39">
        <v>0.01</v>
      </c>
    </row>
    <row r="289" spans="1:18" ht="12.75">
      <c r="A289" s="98" t="s">
        <v>2735</v>
      </c>
      <c r="B289" s="99" t="s">
        <v>2736</v>
      </c>
      <c r="C289" s="100" t="str">
        <f t="shared" si="12"/>
        <v>4 lat/a od dnia zakupu</v>
      </c>
      <c r="D289" s="87">
        <v>45139</v>
      </c>
      <c r="E289" s="87">
        <v>45169</v>
      </c>
      <c r="F289" s="100">
        <v>100</v>
      </c>
      <c r="G289" s="100">
        <v>99.5</v>
      </c>
      <c r="H289" s="101">
        <v>1879.0213</v>
      </c>
      <c r="I289" s="101">
        <v>543.2416</v>
      </c>
      <c r="J289" s="39">
        <v>0.07</v>
      </c>
      <c r="K289" s="39"/>
      <c r="L289" s="39"/>
      <c r="M289" s="39"/>
      <c r="N289" s="36">
        <v>7</v>
      </c>
      <c r="O289" s="36"/>
      <c r="P289" s="36"/>
      <c r="Q289" s="102"/>
      <c r="R289" s="39">
        <v>0.01</v>
      </c>
    </row>
    <row r="290" spans="1:18" ht="12.75">
      <c r="A290" s="98" t="s">
        <v>2737</v>
      </c>
      <c r="B290" s="99" t="s">
        <v>2738</v>
      </c>
      <c r="C290" s="100" t="str">
        <f t="shared" si="12"/>
        <v>4 lat/a od dnia zakupu</v>
      </c>
      <c r="D290" s="87">
        <v>45170</v>
      </c>
      <c r="E290" s="87">
        <v>45199</v>
      </c>
      <c r="F290" s="100">
        <v>100</v>
      </c>
      <c r="G290" s="100">
        <v>99.9</v>
      </c>
      <c r="H290" s="101">
        <v>1948.3412</v>
      </c>
      <c r="I290" s="101">
        <v>397.1142</v>
      </c>
      <c r="J290" s="39">
        <v>0.07</v>
      </c>
      <c r="K290" s="39"/>
      <c r="L290" s="39"/>
      <c r="M290" s="39"/>
      <c r="N290" s="36">
        <v>7</v>
      </c>
      <c r="O290" s="36"/>
      <c r="P290" s="36"/>
      <c r="Q290" s="102"/>
      <c r="R290" s="39">
        <v>0.01</v>
      </c>
    </row>
    <row r="291" spans="1:18" ht="12.75">
      <c r="A291" s="98" t="s">
        <v>2739</v>
      </c>
      <c r="B291" s="99" t="s">
        <v>2740</v>
      </c>
      <c r="C291" s="100" t="str">
        <f t="shared" si="12"/>
        <v>4 lat/a od dnia zakupu</v>
      </c>
      <c r="D291" s="87">
        <v>45200</v>
      </c>
      <c r="E291" s="87">
        <v>45230</v>
      </c>
      <c r="F291" s="100">
        <v>100</v>
      </c>
      <c r="G291" s="100">
        <v>99.9</v>
      </c>
      <c r="H291" s="101">
        <v>2877.426</v>
      </c>
      <c r="I291" s="101">
        <v>444.4772</v>
      </c>
      <c r="J291" s="39">
        <v>0.07</v>
      </c>
      <c r="K291" s="39"/>
      <c r="L291" s="39"/>
      <c r="M291" s="39"/>
      <c r="N291" s="36">
        <v>7</v>
      </c>
      <c r="O291" s="36"/>
      <c r="P291" s="36"/>
      <c r="Q291" s="102"/>
      <c r="R291" s="39">
        <v>0.0125</v>
      </c>
    </row>
    <row r="292" spans="1:18" ht="12.75">
      <c r="A292" s="98" t="s">
        <v>2741</v>
      </c>
      <c r="B292" s="99" t="s">
        <v>2742</v>
      </c>
      <c r="C292" s="100" t="str">
        <f aca="true" t="shared" si="15" ref="C292:C297">"4"&amp;WykupCOI</f>
        <v>4 lat/a od dnia zakupu</v>
      </c>
      <c r="D292" s="87">
        <v>45231</v>
      </c>
      <c r="E292" s="87">
        <v>45260</v>
      </c>
      <c r="F292" s="100">
        <v>100</v>
      </c>
      <c r="G292" s="100">
        <v>99.9</v>
      </c>
      <c r="H292" s="101">
        <v>1279.6496</v>
      </c>
      <c r="I292" s="101">
        <v>283.70980000000003</v>
      </c>
      <c r="J292" s="39">
        <v>0.0675</v>
      </c>
      <c r="K292" s="39"/>
      <c r="L292" s="39"/>
      <c r="M292" s="39"/>
      <c r="N292" s="36">
        <v>6.75</v>
      </c>
      <c r="O292" s="36"/>
      <c r="P292" s="36"/>
      <c r="Q292" s="102"/>
      <c r="R292" s="39">
        <v>0.0125</v>
      </c>
    </row>
    <row r="293" spans="1:18" ht="12.75">
      <c r="A293" s="103" t="s">
        <v>2911</v>
      </c>
      <c r="B293" s="104" t="s">
        <v>2912</v>
      </c>
      <c r="C293" s="105" t="str">
        <f t="shared" si="15"/>
        <v>4 lat/a od dnia zakupu</v>
      </c>
      <c r="D293" s="92">
        <v>45261</v>
      </c>
      <c r="E293" s="92">
        <v>45291</v>
      </c>
      <c r="F293" s="105">
        <v>100</v>
      </c>
      <c r="G293" s="105">
        <v>99.9</v>
      </c>
      <c r="H293" s="106">
        <v>1391.4162</v>
      </c>
      <c r="I293" s="106">
        <v>275.5755</v>
      </c>
      <c r="J293" s="41">
        <v>0.0675</v>
      </c>
      <c r="K293" s="41"/>
      <c r="L293" s="41"/>
      <c r="M293" s="41"/>
      <c r="N293" s="38">
        <v>6.75</v>
      </c>
      <c r="O293" s="38"/>
      <c r="P293" s="38"/>
      <c r="Q293" s="107"/>
      <c r="R293" s="41">
        <v>0.0125</v>
      </c>
    </row>
    <row r="294" spans="1:18" ht="12.75">
      <c r="A294" s="98" t="s">
        <v>2927</v>
      </c>
      <c r="B294" s="99" t="s">
        <v>2928</v>
      </c>
      <c r="C294" s="100" t="str">
        <f t="shared" si="15"/>
        <v>4 lat/a od dnia zakupu</v>
      </c>
      <c r="D294" s="87">
        <f>_XLL.NR.SER.DATY(D293,1)</f>
        <v>45292</v>
      </c>
      <c r="E294" s="87">
        <f>_XLL.NR.SER.OST.DN.MIES(D294,0)</f>
        <v>45322</v>
      </c>
      <c r="F294" s="100">
        <v>100</v>
      </c>
      <c r="G294" s="100">
        <v>99.9</v>
      </c>
      <c r="H294" s="101">
        <v>1686.0306</v>
      </c>
      <c r="I294" s="101">
        <v>426.5039</v>
      </c>
      <c r="J294" s="39">
        <v>0.0665</v>
      </c>
      <c r="K294" s="39"/>
      <c r="L294" s="39"/>
      <c r="M294" s="39"/>
      <c r="N294" s="36">
        <v>6.65</v>
      </c>
      <c r="O294" s="36"/>
      <c r="P294" s="36"/>
      <c r="Q294" s="102"/>
      <c r="R294" s="39">
        <v>0.0125</v>
      </c>
    </row>
    <row r="295" spans="1:253" s="7" customFormat="1" ht="12.75">
      <c r="A295" s="98" t="s">
        <v>2943</v>
      </c>
      <c r="B295" s="99" t="s">
        <v>2944</v>
      </c>
      <c r="C295" s="100" t="str">
        <f t="shared" si="15"/>
        <v>4 lat/a od dnia zakupu</v>
      </c>
      <c r="D295" s="87">
        <f>_XLL.NR.SER.DATY(D294,1)</f>
        <v>45323</v>
      </c>
      <c r="E295" s="87">
        <f>_XLL.NR.SER.OST.DN.MIES(D295,0)-1</f>
        <v>45350</v>
      </c>
      <c r="F295" s="100">
        <v>100</v>
      </c>
      <c r="G295" s="100">
        <v>99.9</v>
      </c>
      <c r="H295" s="101">
        <v>1340.8725</v>
      </c>
      <c r="I295" s="101">
        <v>361.9284</v>
      </c>
      <c r="J295" s="39">
        <v>0.0655</v>
      </c>
      <c r="K295" s="39"/>
      <c r="L295" s="39"/>
      <c r="M295" s="39"/>
      <c r="N295" s="36">
        <v>6.55</v>
      </c>
      <c r="O295" s="36"/>
      <c r="P295" s="36"/>
      <c r="Q295" s="102"/>
      <c r="R295" s="39">
        <v>0.0125</v>
      </c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  <c r="IM295" s="19"/>
      <c r="IN295" s="19"/>
      <c r="IO295" s="19"/>
      <c r="IP295" s="19"/>
      <c r="IQ295" s="19"/>
      <c r="IR295" s="19"/>
      <c r="IS295" s="19"/>
    </row>
    <row r="296" spans="1:253" s="7" customFormat="1" ht="12.75">
      <c r="A296" s="98" t="s">
        <v>2959</v>
      </c>
      <c r="B296" s="99" t="s">
        <v>2960</v>
      </c>
      <c r="C296" s="100" t="str">
        <f t="shared" si="15"/>
        <v>4 lat/a od dnia zakupu</v>
      </c>
      <c r="D296" s="87">
        <f>_XLL.NR.SER.DATY(D295,1)</f>
        <v>45352</v>
      </c>
      <c r="E296" s="87">
        <f>_XLL.NR.SER.OST.DN.MIES(D296,0)</f>
        <v>45382</v>
      </c>
      <c r="F296" s="100">
        <v>100</v>
      </c>
      <c r="G296" s="100">
        <v>99.9</v>
      </c>
      <c r="H296" s="101">
        <v>1211.056</v>
      </c>
      <c r="I296" s="101">
        <v>366.4476</v>
      </c>
      <c r="J296" s="39">
        <v>0.0655</v>
      </c>
      <c r="K296" s="39"/>
      <c r="L296" s="39"/>
      <c r="M296" s="39"/>
      <c r="N296" s="36">
        <v>6.55</v>
      </c>
      <c r="O296" s="36"/>
      <c r="P296" s="36"/>
      <c r="Q296" s="102"/>
      <c r="R296" s="39">
        <v>0.0125</v>
      </c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  <c r="IM296" s="19"/>
      <c r="IN296" s="19"/>
      <c r="IO296" s="19"/>
      <c r="IP296" s="19"/>
      <c r="IQ296" s="19"/>
      <c r="IR296" s="19"/>
      <c r="IS296" s="19"/>
    </row>
    <row r="297" spans="1:253" s="7" customFormat="1" ht="12.75">
      <c r="A297" s="103" t="s">
        <v>2975</v>
      </c>
      <c r="B297" s="104" t="s">
        <v>2976</v>
      </c>
      <c r="C297" s="105" t="str">
        <f t="shared" si="15"/>
        <v>4 lat/a od dnia zakupu</v>
      </c>
      <c r="D297" s="92">
        <f>_XLL.NR.SER.DATY(D296,1)</f>
        <v>45383</v>
      </c>
      <c r="E297" s="92">
        <f>_XLL.NR.SER.OST.DN.MIES(D297,0)</f>
        <v>45412</v>
      </c>
      <c r="F297" s="105">
        <v>100</v>
      </c>
      <c r="G297" s="105">
        <v>99.9</v>
      </c>
      <c r="H297" s="106"/>
      <c r="I297" s="106"/>
      <c r="J297" s="41">
        <v>0.0655</v>
      </c>
      <c r="K297" s="41"/>
      <c r="L297" s="41"/>
      <c r="M297" s="41"/>
      <c r="N297" s="38">
        <v>6.55</v>
      </c>
      <c r="O297" s="38"/>
      <c r="P297" s="38"/>
      <c r="Q297" s="107"/>
      <c r="R297" s="41">
        <v>0.0125</v>
      </c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  <c r="IM297" s="19"/>
      <c r="IN297" s="19"/>
      <c r="IO297" s="19"/>
      <c r="IP297" s="19"/>
      <c r="IQ297" s="19"/>
      <c r="IR297" s="19"/>
      <c r="IS297" s="19"/>
    </row>
  </sheetData>
  <sheetProtection/>
  <mergeCells count="1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M1"/>
    <mergeCell ref="N1:Q1"/>
    <mergeCell ref="R1:R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  <ignoredErrors>
    <ignoredError sqref="M186 K210 L198 M209 L221 K233 M224 L236 K248 E29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9"/>
  <dimension ref="A1:U237"/>
  <sheetViews>
    <sheetView zoomScale="115" zoomScaleNormal="115" zoomScalePageLayoutView="0" workbookViewId="0" topLeftCell="A1">
      <pane xSplit="2" ySplit="2" topLeftCell="C23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38" sqref="A238"/>
    </sheetView>
  </sheetViews>
  <sheetFormatPr defaultColWidth="0" defaultRowHeight="12.75"/>
  <cols>
    <col min="1" max="1" width="10.875" style="13" customWidth="1"/>
    <col min="2" max="2" width="16.50390625" style="13" bestFit="1" customWidth="1"/>
    <col min="3" max="3" width="30.875" style="13" customWidth="1"/>
    <col min="4" max="4" width="17.625" style="13" bestFit="1" customWidth="1"/>
    <col min="5" max="5" width="11.875" style="13" bestFit="1" customWidth="1"/>
    <col min="6" max="6" width="12.50390625" style="13" bestFit="1" customWidth="1"/>
    <col min="7" max="7" width="18.00390625" style="23" bestFit="1" customWidth="1"/>
    <col min="8" max="8" width="11.50390625" style="13" bestFit="1" customWidth="1"/>
    <col min="9" max="9" width="15.875" style="23" customWidth="1"/>
    <col min="10" max="10" width="7.625" style="22" customWidth="1"/>
    <col min="11" max="11" width="8.00390625" style="34" customWidth="1"/>
    <col min="12" max="14" width="8.125" style="34" customWidth="1"/>
    <col min="15" max="15" width="8.00390625" style="34" customWidth="1"/>
    <col min="16" max="17" width="8.125" style="34" customWidth="1"/>
    <col min="18" max="19" width="8.00390625" style="34" customWidth="1"/>
    <col min="20" max="20" width="13.625" style="34" bestFit="1" customWidth="1"/>
    <col min="21" max="21" width="8.50390625" style="34" bestFit="1" customWidth="1"/>
    <col min="22" max="22" width="23.50390625" style="7" hidden="1" customWidth="1"/>
    <col min="23" max="254" width="0" style="7" hidden="1" customWidth="1"/>
    <col min="255" max="16384" width="23.50390625" style="7" hidden="1" customWidth="1"/>
  </cols>
  <sheetData>
    <row r="1" spans="1:21" s="34" customFormat="1" ht="13.5" customHeight="1" thickBot="1">
      <c r="A1" s="359" t="str">
        <f>Seria</f>
        <v>Seria</v>
      </c>
      <c r="B1" s="359" t="str">
        <f>ISIN</f>
        <v>Kod ISIN</v>
      </c>
      <c r="C1" s="351" t="str">
        <f>Wykup</f>
        <v>Data wykupu</v>
      </c>
      <c r="D1" s="351" t="str">
        <f>PoczatekSprzedazy</f>
        <v>Początek sprzedaży</v>
      </c>
      <c r="E1" s="351" t="str">
        <f>KoniecSprzedazy</f>
        <v>Koniec sprzedaży</v>
      </c>
      <c r="F1" s="351" t="str">
        <f>CenaEmisyjna</f>
        <v>Cena emisyjna</v>
      </c>
      <c r="G1" s="351" t="str">
        <f>switch_price</f>
        <v>Cena zamiany</v>
      </c>
      <c r="H1" s="353" t="str">
        <f>Sprzedaz&amp;" 
(mln zł)"</f>
        <v>Sprzedaż łączna 
(mln zł)</v>
      </c>
      <c r="I1" s="353" t="str">
        <f>switch&amp;" (mln zł)"</f>
        <v>w tym zamiana (mln zł)</v>
      </c>
      <c r="J1" s="358" t="str">
        <f>Oprocentowanie</f>
        <v>Oprocentowanie</v>
      </c>
      <c r="K1" s="358"/>
      <c r="L1" s="358"/>
      <c r="M1" s="358"/>
      <c r="N1" s="358"/>
      <c r="O1" s="358"/>
      <c r="P1" s="358"/>
      <c r="Q1" s="358"/>
      <c r="R1" s="358"/>
      <c r="S1" s="358"/>
      <c r="T1" s="357" t="str">
        <f>Odsetki&amp;" (zł)"</f>
        <v>Odsetki (zł)</v>
      </c>
      <c r="U1" s="357" t="str">
        <f>Marża</f>
        <v>Marża</v>
      </c>
    </row>
    <row r="2" spans="1:21" s="34" customFormat="1" ht="27" customHeight="1" thickBot="1">
      <c r="A2" s="360"/>
      <c r="B2" s="360"/>
      <c r="C2" s="352"/>
      <c r="D2" s="352"/>
      <c r="E2" s="352"/>
      <c r="F2" s="352"/>
      <c r="G2" s="352"/>
      <c r="H2" s="354"/>
      <c r="I2" s="354"/>
      <c r="J2" s="32" t="str">
        <f>FirstYear</f>
        <v> w 1. roku</v>
      </c>
      <c r="K2" s="32" t="str">
        <f>SecondYear</f>
        <v> w 2. roku</v>
      </c>
      <c r="L2" s="32" t="str">
        <f>ThirdYear</f>
        <v> w 3. roku</v>
      </c>
      <c r="M2" s="32" t="str">
        <f>FourthYear</f>
        <v> w 4. roku</v>
      </c>
      <c r="N2" s="32" t="str">
        <f>FifthYear</f>
        <v> w 5. roku</v>
      </c>
      <c r="O2" s="32" t="str">
        <f>Sixth_Year</f>
        <v> w 6. roku</v>
      </c>
      <c r="P2" s="32" t="str">
        <f>SeventhYear</f>
        <v> w 7. roku</v>
      </c>
      <c r="Q2" s="32" t="str">
        <f>EighthYear</f>
        <v> w 8. roku</v>
      </c>
      <c r="R2" s="32" t="str">
        <f>NinthYear</f>
        <v> w 9. roku</v>
      </c>
      <c r="S2" s="32" t="str">
        <f>TenthYear</f>
        <v> w 10. roku</v>
      </c>
      <c r="T2" s="358"/>
      <c r="U2" s="358"/>
    </row>
    <row r="3" spans="1:21" ht="12.75">
      <c r="A3" s="133" t="s">
        <v>490</v>
      </c>
      <c r="B3" s="134" t="s">
        <v>491</v>
      </c>
      <c r="C3" s="97" t="str">
        <f aca="true" t="shared" si="0" ref="C3:C66">"10"&amp;WykupCOI</f>
        <v>10 lat/a od dnia zakupu</v>
      </c>
      <c r="D3" s="160">
        <v>38261</v>
      </c>
      <c r="E3" s="160">
        <v>38291</v>
      </c>
      <c r="F3" s="161">
        <v>100</v>
      </c>
      <c r="G3" s="162"/>
      <c r="H3" s="163">
        <v>6.7844</v>
      </c>
      <c r="I3" s="164"/>
      <c r="J3" s="73">
        <v>0.071</v>
      </c>
      <c r="K3" s="73">
        <v>0.051</v>
      </c>
      <c r="L3" s="73">
        <v>0.051</v>
      </c>
      <c r="M3" s="73">
        <v>0.05</v>
      </c>
      <c r="N3" s="73">
        <v>0.083</v>
      </c>
      <c r="O3" s="73">
        <v>0.07200000000000001</v>
      </c>
      <c r="P3" s="73">
        <v>0.05500000000000001</v>
      </c>
      <c r="Q3" s="73">
        <v>0.078</v>
      </c>
      <c r="R3" s="73">
        <v>0.07300000000000001</v>
      </c>
      <c r="S3" s="73">
        <v>0.046000000000000006</v>
      </c>
      <c r="T3" s="165">
        <v>84.08</v>
      </c>
      <c r="U3" s="73">
        <v>0.035</v>
      </c>
    </row>
    <row r="4" spans="1:21" ht="12.75">
      <c r="A4" s="85" t="s">
        <v>499</v>
      </c>
      <c r="B4" s="86" t="s">
        <v>500</v>
      </c>
      <c r="C4" s="109" t="str">
        <f t="shared" si="0"/>
        <v>10 lat/a od dnia zakupu</v>
      </c>
      <c r="D4" s="109">
        <v>38292</v>
      </c>
      <c r="E4" s="109">
        <v>38321</v>
      </c>
      <c r="F4" s="110">
        <v>100</v>
      </c>
      <c r="G4" s="166"/>
      <c r="H4" s="167">
        <v>13.6373</v>
      </c>
      <c r="I4" s="168"/>
      <c r="J4" s="71">
        <v>0.071</v>
      </c>
      <c r="K4" s="71">
        <v>0.053000000000000005</v>
      </c>
      <c r="L4" s="71">
        <v>0.051</v>
      </c>
      <c r="M4" s="71">
        <v>0.058</v>
      </c>
      <c r="N4" s="71">
        <v>0.08</v>
      </c>
      <c r="O4" s="71">
        <v>0.069</v>
      </c>
      <c r="P4" s="71">
        <v>0.060000000000000005</v>
      </c>
      <c r="Q4" s="71">
        <v>0.07400000000000001</v>
      </c>
      <c r="R4" s="71">
        <v>0.07300000000000001</v>
      </c>
      <c r="S4" s="71">
        <v>0.045000000000000005</v>
      </c>
      <c r="T4" s="169">
        <v>84.81</v>
      </c>
      <c r="U4" s="71">
        <v>0.035</v>
      </c>
    </row>
    <row r="5" spans="1:21" ht="12.75">
      <c r="A5" s="90" t="s">
        <v>507</v>
      </c>
      <c r="B5" s="91" t="s">
        <v>508</v>
      </c>
      <c r="C5" s="111" t="str">
        <f t="shared" si="0"/>
        <v>10 lat/a od dnia zakupu</v>
      </c>
      <c r="D5" s="111">
        <v>38322</v>
      </c>
      <c r="E5" s="111">
        <v>38352</v>
      </c>
      <c r="F5" s="112">
        <v>100</v>
      </c>
      <c r="G5" s="170"/>
      <c r="H5" s="171">
        <v>34.1573</v>
      </c>
      <c r="I5" s="172"/>
      <c r="J5" s="67">
        <v>0.071</v>
      </c>
      <c r="K5" s="67">
        <v>0.051000000000000004</v>
      </c>
      <c r="L5" s="67">
        <v>0.047</v>
      </c>
      <c r="M5" s="67">
        <v>0.065</v>
      </c>
      <c r="N5" s="67">
        <v>0.07700000000000001</v>
      </c>
      <c r="O5" s="67">
        <v>0.066</v>
      </c>
      <c r="P5" s="67">
        <v>0.063</v>
      </c>
      <c r="Q5" s="67">
        <v>0.078</v>
      </c>
      <c r="R5" s="67">
        <v>0.069</v>
      </c>
      <c r="S5" s="67">
        <v>0.043000000000000003</v>
      </c>
      <c r="T5" s="173">
        <v>84.11</v>
      </c>
      <c r="U5" s="67">
        <v>0.035</v>
      </c>
    </row>
    <row r="6" spans="1:21" ht="12.75">
      <c r="A6" s="85" t="s">
        <v>515</v>
      </c>
      <c r="B6" s="86" t="s">
        <v>516</v>
      </c>
      <c r="C6" s="109" t="str">
        <f t="shared" si="0"/>
        <v>10 lat/a od dnia zakupu</v>
      </c>
      <c r="D6" s="109">
        <v>38355</v>
      </c>
      <c r="E6" s="109">
        <v>38383</v>
      </c>
      <c r="F6" s="110">
        <v>100</v>
      </c>
      <c r="G6" s="166"/>
      <c r="H6" s="167">
        <v>12.7599</v>
      </c>
      <c r="I6" s="168"/>
      <c r="J6" s="72">
        <v>0.07</v>
      </c>
      <c r="K6" s="72">
        <v>0.04</v>
      </c>
      <c r="L6" s="72">
        <v>0.044</v>
      </c>
      <c r="M6" s="72">
        <v>0.066</v>
      </c>
      <c r="N6" s="72">
        <v>0.067</v>
      </c>
      <c r="O6" s="72">
        <v>0.063</v>
      </c>
      <c r="P6" s="72">
        <v>0.057</v>
      </c>
      <c r="Q6" s="72">
        <v>0.078</v>
      </c>
      <c r="R6" s="72">
        <v>0.057999999999999996</v>
      </c>
      <c r="S6" s="72">
        <v>0.036</v>
      </c>
      <c r="T6" s="174">
        <v>75.43</v>
      </c>
      <c r="U6" s="72">
        <v>0.03</v>
      </c>
    </row>
    <row r="7" spans="1:21" ht="12.75">
      <c r="A7" s="85" t="s">
        <v>522</v>
      </c>
      <c r="B7" s="86" t="s">
        <v>523</v>
      </c>
      <c r="C7" s="109" t="str">
        <f t="shared" si="0"/>
        <v>10 lat/a od dnia zakupu</v>
      </c>
      <c r="D7" s="109">
        <v>38384</v>
      </c>
      <c r="E7" s="109">
        <v>38411</v>
      </c>
      <c r="F7" s="110">
        <v>100</v>
      </c>
      <c r="G7" s="166"/>
      <c r="H7" s="167">
        <v>19.417</v>
      </c>
      <c r="I7" s="168"/>
      <c r="J7" s="71">
        <v>0.07</v>
      </c>
      <c r="K7" s="71">
        <v>0.037</v>
      </c>
      <c r="L7" s="71">
        <v>0.044</v>
      </c>
      <c r="M7" s="71">
        <v>0.07</v>
      </c>
      <c r="N7" s="71">
        <v>0.063</v>
      </c>
      <c r="O7" s="71">
        <v>0.065</v>
      </c>
      <c r="P7" s="71">
        <v>0.061</v>
      </c>
      <c r="Q7" s="71">
        <v>0.076</v>
      </c>
      <c r="R7" s="71">
        <v>0.054</v>
      </c>
      <c r="S7" s="71">
        <v>0.037</v>
      </c>
      <c r="T7" s="169">
        <v>75.1</v>
      </c>
      <c r="U7" s="71">
        <v>0.03</v>
      </c>
    </row>
    <row r="8" spans="1:21" ht="12.75">
      <c r="A8" s="85" t="s">
        <v>524</v>
      </c>
      <c r="B8" s="86" t="s">
        <v>525</v>
      </c>
      <c r="C8" s="109" t="str">
        <f t="shared" si="0"/>
        <v>10 lat/a od dnia zakupu</v>
      </c>
      <c r="D8" s="109">
        <v>38412</v>
      </c>
      <c r="E8" s="109">
        <v>38442</v>
      </c>
      <c r="F8" s="110">
        <v>100</v>
      </c>
      <c r="G8" s="166"/>
      <c r="H8" s="167">
        <v>6.5376</v>
      </c>
      <c r="I8" s="168"/>
      <c r="J8" s="71">
        <v>0.06</v>
      </c>
      <c r="K8" s="71">
        <v>0.037</v>
      </c>
      <c r="L8" s="71">
        <v>0.047</v>
      </c>
      <c r="M8" s="71">
        <v>0.073</v>
      </c>
      <c r="N8" s="71">
        <v>0.061</v>
      </c>
      <c r="O8" s="71">
        <v>0.066</v>
      </c>
      <c r="P8" s="71">
        <v>0.068</v>
      </c>
      <c r="Q8" s="71">
        <v>0.071</v>
      </c>
      <c r="R8" s="71">
        <v>0.047</v>
      </c>
      <c r="S8" s="71">
        <v>0.037</v>
      </c>
      <c r="T8" s="169">
        <v>73.46</v>
      </c>
      <c r="U8" s="71">
        <v>0.03</v>
      </c>
    </row>
    <row r="9" spans="1:21" ht="12.75">
      <c r="A9" s="85" t="s">
        <v>539</v>
      </c>
      <c r="B9" s="86" t="s">
        <v>540</v>
      </c>
      <c r="C9" s="109" t="str">
        <f t="shared" si="0"/>
        <v>10 lat/a od dnia zakupu</v>
      </c>
      <c r="D9" s="109">
        <v>38443</v>
      </c>
      <c r="E9" s="109">
        <v>38472</v>
      </c>
      <c r="F9" s="110">
        <v>100</v>
      </c>
      <c r="G9" s="166"/>
      <c r="H9" s="167">
        <v>7.7022</v>
      </c>
      <c r="I9" s="168"/>
      <c r="J9" s="71">
        <v>0.06</v>
      </c>
      <c r="K9" s="71">
        <v>0.037000000000000005</v>
      </c>
      <c r="L9" s="71">
        <v>0.049</v>
      </c>
      <c r="M9" s="71">
        <v>0.07200000000000001</v>
      </c>
      <c r="N9" s="71">
        <v>0.063</v>
      </c>
      <c r="O9" s="71">
        <v>0.059</v>
      </c>
      <c r="P9" s="71">
        <v>0.066</v>
      </c>
      <c r="Q9" s="71">
        <v>0.073</v>
      </c>
      <c r="R9" s="71">
        <v>0.043</v>
      </c>
      <c r="S9" s="71">
        <v>0.037</v>
      </c>
      <c r="T9" s="169">
        <v>72.15</v>
      </c>
      <c r="U9" s="71">
        <v>0.03</v>
      </c>
    </row>
    <row r="10" spans="1:21" ht="12.75">
      <c r="A10" s="85" t="s">
        <v>542</v>
      </c>
      <c r="B10" s="86" t="s">
        <v>543</v>
      </c>
      <c r="C10" s="109" t="str">
        <f t="shared" si="0"/>
        <v>10 lat/a od dnia zakupu</v>
      </c>
      <c r="D10" s="109">
        <v>38474</v>
      </c>
      <c r="E10" s="109">
        <v>38503</v>
      </c>
      <c r="F10" s="110">
        <v>100</v>
      </c>
      <c r="G10" s="166"/>
      <c r="H10" s="167">
        <v>7.2945</v>
      </c>
      <c r="I10" s="168"/>
      <c r="J10" s="71">
        <v>0.06</v>
      </c>
      <c r="K10" s="71">
        <v>0.034</v>
      </c>
      <c r="L10" s="71">
        <v>0.055</v>
      </c>
      <c r="M10" s="71">
        <v>0.071</v>
      </c>
      <c r="N10" s="71">
        <v>0.066</v>
      </c>
      <c r="O10" s="71">
        <v>0.056</v>
      </c>
      <c r="P10" s="71">
        <v>0.073</v>
      </c>
      <c r="Q10" s="71">
        <v>0.069</v>
      </c>
      <c r="R10" s="71">
        <v>0.04</v>
      </c>
      <c r="S10" s="71">
        <v>0.037</v>
      </c>
      <c r="T10" s="169">
        <v>72.46</v>
      </c>
      <c r="U10" s="71">
        <v>0.03</v>
      </c>
    </row>
    <row r="11" spans="1:21" ht="12.75">
      <c r="A11" s="85" t="s">
        <v>563</v>
      </c>
      <c r="B11" s="86" t="s">
        <v>553</v>
      </c>
      <c r="C11" s="109" t="str">
        <f t="shared" si="0"/>
        <v>10 lat/a od dnia zakupu</v>
      </c>
      <c r="D11" s="109">
        <v>38504</v>
      </c>
      <c r="E11" s="109">
        <v>38533</v>
      </c>
      <c r="F11" s="110">
        <v>100</v>
      </c>
      <c r="G11" s="166"/>
      <c r="H11" s="167">
        <v>4.763</v>
      </c>
      <c r="I11" s="168"/>
      <c r="J11" s="71">
        <v>0.055</v>
      </c>
      <c r="K11" s="71">
        <v>0.037</v>
      </c>
      <c r="L11" s="71">
        <v>0.053</v>
      </c>
      <c r="M11" s="71">
        <v>0.07</v>
      </c>
      <c r="N11" s="71">
        <v>0.07</v>
      </c>
      <c r="O11" s="71">
        <v>0.054</v>
      </c>
      <c r="P11" s="71">
        <v>0.075</v>
      </c>
      <c r="Q11" s="71">
        <v>0.07</v>
      </c>
      <c r="R11" s="71">
        <v>0.038</v>
      </c>
      <c r="S11" s="71">
        <v>0.033</v>
      </c>
      <c r="T11" s="169">
        <v>71.46</v>
      </c>
      <c r="U11" s="71">
        <v>0.03</v>
      </c>
    </row>
    <row r="12" spans="1:21" ht="12.75">
      <c r="A12" s="85" t="s">
        <v>561</v>
      </c>
      <c r="B12" s="86" t="s">
        <v>562</v>
      </c>
      <c r="C12" s="109" t="str">
        <f t="shared" si="0"/>
        <v>10 lat/a od dnia zakupu</v>
      </c>
      <c r="D12" s="109">
        <v>38534</v>
      </c>
      <c r="E12" s="109">
        <v>38564</v>
      </c>
      <c r="F12" s="110">
        <v>100</v>
      </c>
      <c r="G12" s="166"/>
      <c r="H12" s="167">
        <v>2.133</v>
      </c>
      <c r="I12" s="168"/>
      <c r="J12" s="71">
        <v>0.05</v>
      </c>
      <c r="K12" s="71">
        <v>0.034</v>
      </c>
      <c r="L12" s="71">
        <v>0.048</v>
      </c>
      <c r="M12" s="71">
        <v>0.069</v>
      </c>
      <c r="N12" s="71">
        <v>0.061000000000000006</v>
      </c>
      <c r="O12" s="71">
        <v>0.047</v>
      </c>
      <c r="P12" s="71">
        <v>0.07500000000000001</v>
      </c>
      <c r="Q12" s="71">
        <v>0.061000000000000006</v>
      </c>
      <c r="R12" s="71">
        <v>0.030000000000000002</v>
      </c>
      <c r="S12" s="71">
        <v>0.027000000000000003</v>
      </c>
      <c r="T12" s="169">
        <v>63.02</v>
      </c>
      <c r="U12" s="71">
        <v>0.025</v>
      </c>
    </row>
    <row r="13" spans="1:21" ht="12.75">
      <c r="A13" s="85" t="s">
        <v>564</v>
      </c>
      <c r="B13" s="86" t="s">
        <v>565</v>
      </c>
      <c r="C13" s="109" t="str">
        <f t="shared" si="0"/>
        <v>10 lat/a od dnia zakupu</v>
      </c>
      <c r="D13" s="109">
        <v>38565</v>
      </c>
      <c r="E13" s="109">
        <v>38595</v>
      </c>
      <c r="F13" s="110">
        <v>100</v>
      </c>
      <c r="G13" s="166"/>
      <c r="H13" s="167">
        <v>2.1092</v>
      </c>
      <c r="I13" s="168"/>
      <c r="J13" s="71">
        <v>0.0475</v>
      </c>
      <c r="K13" s="71">
        <v>0.033</v>
      </c>
      <c r="L13" s="71">
        <v>0.051</v>
      </c>
      <c r="M13" s="71">
        <v>0.07100000000000001</v>
      </c>
      <c r="N13" s="71">
        <v>0.060000000000000005</v>
      </c>
      <c r="O13" s="71">
        <v>0.048</v>
      </c>
      <c r="P13" s="71">
        <v>0.067</v>
      </c>
      <c r="Q13" s="71">
        <v>0.068</v>
      </c>
      <c r="R13" s="71">
        <v>0.027000000000000003</v>
      </c>
      <c r="S13" s="71">
        <v>0.028</v>
      </c>
      <c r="T13" s="169">
        <v>62.78</v>
      </c>
      <c r="U13" s="71">
        <v>0.025</v>
      </c>
    </row>
    <row r="14" spans="1:21" ht="12.75">
      <c r="A14" s="85" t="s">
        <v>577</v>
      </c>
      <c r="B14" s="86" t="s">
        <v>578</v>
      </c>
      <c r="C14" s="109" t="str">
        <f t="shared" si="0"/>
        <v>10 lat/a od dnia zakupu</v>
      </c>
      <c r="D14" s="109">
        <v>38596</v>
      </c>
      <c r="E14" s="109">
        <v>38625</v>
      </c>
      <c r="F14" s="110">
        <v>100</v>
      </c>
      <c r="G14" s="166"/>
      <c r="H14" s="167">
        <v>3.604</v>
      </c>
      <c r="I14" s="168"/>
      <c r="J14" s="71">
        <v>0.05</v>
      </c>
      <c r="K14" s="71">
        <v>0.036000000000000004</v>
      </c>
      <c r="L14" s="71">
        <v>0.048</v>
      </c>
      <c r="M14" s="71">
        <v>0.07300000000000001</v>
      </c>
      <c r="N14" s="71">
        <v>0.061000000000000006</v>
      </c>
      <c r="O14" s="71">
        <v>0.045</v>
      </c>
      <c r="P14" s="71">
        <v>0.066</v>
      </c>
      <c r="Q14" s="71">
        <v>0.065</v>
      </c>
      <c r="R14" s="71">
        <v>0.036000000000000004</v>
      </c>
      <c r="S14" s="71">
        <v>0.025</v>
      </c>
      <c r="T14" s="169">
        <v>63.51</v>
      </c>
      <c r="U14" s="71">
        <v>0.025</v>
      </c>
    </row>
    <row r="15" spans="1:21" ht="12.75">
      <c r="A15" s="85" t="s">
        <v>584</v>
      </c>
      <c r="B15" s="86" t="s">
        <v>585</v>
      </c>
      <c r="C15" s="109" t="str">
        <f t="shared" si="0"/>
        <v>10 lat/a od dnia zakupu</v>
      </c>
      <c r="D15" s="109">
        <v>38626</v>
      </c>
      <c r="E15" s="109">
        <v>38656</v>
      </c>
      <c r="F15" s="110">
        <v>100</v>
      </c>
      <c r="G15" s="166"/>
      <c r="H15" s="167">
        <v>1.5205</v>
      </c>
      <c r="I15" s="168"/>
      <c r="J15" s="71">
        <v>0.045</v>
      </c>
      <c r="K15" s="71">
        <v>0.0385</v>
      </c>
      <c r="L15" s="71">
        <v>0.0375</v>
      </c>
      <c r="M15" s="71">
        <v>0.07050000000000001</v>
      </c>
      <c r="N15" s="71">
        <v>0.059500000000000004</v>
      </c>
      <c r="O15" s="71">
        <v>0.042499999999999996</v>
      </c>
      <c r="P15" s="71">
        <v>0.0655</v>
      </c>
      <c r="Q15" s="71">
        <v>0.0605</v>
      </c>
      <c r="R15" s="71">
        <v>0.0335</v>
      </c>
      <c r="S15" s="71">
        <v>0.0225</v>
      </c>
      <c r="T15" s="169">
        <v>58.97</v>
      </c>
      <c r="U15" s="71">
        <v>0.0225</v>
      </c>
    </row>
    <row r="16" spans="1:21" ht="12.75">
      <c r="A16" s="85" t="s">
        <v>593</v>
      </c>
      <c r="B16" s="86" t="s">
        <v>594</v>
      </c>
      <c r="C16" s="109" t="str">
        <f t="shared" si="0"/>
        <v>10 lat/a od dnia zakupu</v>
      </c>
      <c r="D16" s="109">
        <v>38658</v>
      </c>
      <c r="E16" s="109">
        <v>38686</v>
      </c>
      <c r="F16" s="110">
        <v>100</v>
      </c>
      <c r="G16" s="166"/>
      <c r="H16" s="167">
        <v>3.7391</v>
      </c>
      <c r="I16" s="168"/>
      <c r="J16" s="71">
        <v>0.045</v>
      </c>
      <c r="K16" s="71">
        <v>0.0385</v>
      </c>
      <c r="L16" s="71">
        <v>0.0455</v>
      </c>
      <c r="M16" s="71">
        <v>0.0675</v>
      </c>
      <c r="N16" s="71">
        <v>0.0565</v>
      </c>
      <c r="O16" s="71">
        <v>0.0475</v>
      </c>
      <c r="P16" s="71">
        <v>0.0615</v>
      </c>
      <c r="Q16" s="71">
        <v>0.0605</v>
      </c>
      <c r="R16" s="71">
        <v>0.0325</v>
      </c>
      <c r="S16" s="71">
        <v>0.0225</v>
      </c>
      <c r="T16" s="169">
        <v>59.3</v>
      </c>
      <c r="U16" s="71">
        <v>0.0225</v>
      </c>
    </row>
    <row r="17" spans="1:21" ht="12.75">
      <c r="A17" s="90" t="s">
        <v>601</v>
      </c>
      <c r="B17" s="91" t="s">
        <v>602</v>
      </c>
      <c r="C17" s="111" t="str">
        <f t="shared" si="0"/>
        <v>10 lat/a od dnia zakupu</v>
      </c>
      <c r="D17" s="111">
        <v>38687</v>
      </c>
      <c r="E17" s="111">
        <v>38717</v>
      </c>
      <c r="F17" s="112">
        <v>100</v>
      </c>
      <c r="G17" s="170"/>
      <c r="H17" s="171">
        <v>6.6783</v>
      </c>
      <c r="I17" s="172"/>
      <c r="J17" s="67">
        <v>0.05</v>
      </c>
      <c r="K17" s="67">
        <v>0.0345</v>
      </c>
      <c r="L17" s="67">
        <v>0.0525</v>
      </c>
      <c r="M17" s="67">
        <v>0.0645</v>
      </c>
      <c r="N17" s="67">
        <v>0.0535</v>
      </c>
      <c r="O17" s="67">
        <v>0.050499999999999996</v>
      </c>
      <c r="P17" s="67">
        <v>0.0655</v>
      </c>
      <c r="Q17" s="67">
        <v>0.0565</v>
      </c>
      <c r="R17" s="67">
        <v>0.0305</v>
      </c>
      <c r="S17" s="67">
        <v>0.0225</v>
      </c>
      <c r="T17" s="173">
        <v>59.75</v>
      </c>
      <c r="U17" s="67">
        <v>0.0225</v>
      </c>
    </row>
    <row r="18" spans="1:21" ht="12.75">
      <c r="A18" s="85" t="s">
        <v>607</v>
      </c>
      <c r="B18" s="86" t="s">
        <v>608</v>
      </c>
      <c r="C18" s="109" t="str">
        <f t="shared" si="0"/>
        <v>10 lat/a od dnia zakupu</v>
      </c>
      <c r="D18" s="109">
        <v>38718</v>
      </c>
      <c r="E18" s="109">
        <v>38748</v>
      </c>
      <c r="F18" s="110">
        <v>100</v>
      </c>
      <c r="G18" s="166"/>
      <c r="H18" s="167">
        <v>8.2269</v>
      </c>
      <c r="I18" s="168"/>
      <c r="J18" s="72">
        <v>0.05</v>
      </c>
      <c r="K18" s="72">
        <v>0.0365</v>
      </c>
      <c r="L18" s="72">
        <v>0.0585</v>
      </c>
      <c r="M18" s="72">
        <v>0.059500000000000004</v>
      </c>
      <c r="N18" s="72">
        <v>0.0555</v>
      </c>
      <c r="O18" s="72">
        <v>0.0495</v>
      </c>
      <c r="P18" s="72">
        <v>0.07050000000000001</v>
      </c>
      <c r="Q18" s="72">
        <v>0.050499999999999996</v>
      </c>
      <c r="R18" s="72">
        <v>0.028499999999999998</v>
      </c>
      <c r="S18" s="72">
        <v>0.0225</v>
      </c>
      <c r="T18" s="174">
        <v>59.9</v>
      </c>
      <c r="U18" s="72">
        <v>0.0225</v>
      </c>
    </row>
    <row r="19" spans="1:21" ht="12.75">
      <c r="A19" s="85" t="s">
        <v>616</v>
      </c>
      <c r="B19" s="86" t="s">
        <v>615</v>
      </c>
      <c r="C19" s="109" t="str">
        <f t="shared" si="0"/>
        <v>10 lat/a od dnia zakupu</v>
      </c>
      <c r="D19" s="109">
        <v>38749</v>
      </c>
      <c r="E19" s="109">
        <v>38776</v>
      </c>
      <c r="F19" s="110">
        <v>100</v>
      </c>
      <c r="G19" s="166"/>
      <c r="H19" s="167">
        <v>6.2702</v>
      </c>
      <c r="I19" s="168"/>
      <c r="J19" s="71">
        <v>0.0475</v>
      </c>
      <c r="K19" s="71">
        <v>0.0365</v>
      </c>
      <c r="L19" s="71">
        <v>0.0625</v>
      </c>
      <c r="M19" s="71">
        <v>0.0555</v>
      </c>
      <c r="N19" s="71">
        <v>0.0575</v>
      </c>
      <c r="O19" s="71">
        <v>0.0535</v>
      </c>
      <c r="P19" s="71">
        <v>0.0685</v>
      </c>
      <c r="Q19" s="71">
        <v>0.0465</v>
      </c>
      <c r="R19" s="71">
        <v>0.0295</v>
      </c>
      <c r="S19" s="71">
        <v>0.0225</v>
      </c>
      <c r="T19" s="169">
        <v>59.67</v>
      </c>
      <c r="U19" s="71">
        <v>0.0225</v>
      </c>
    </row>
    <row r="20" spans="1:21" ht="12.75">
      <c r="A20" s="85" t="s">
        <v>622</v>
      </c>
      <c r="B20" s="86" t="s">
        <v>623</v>
      </c>
      <c r="C20" s="109" t="str">
        <f t="shared" si="0"/>
        <v>10 lat/a od dnia zakupu</v>
      </c>
      <c r="D20" s="109">
        <v>38777</v>
      </c>
      <c r="E20" s="109">
        <v>38807</v>
      </c>
      <c r="F20" s="110">
        <v>100</v>
      </c>
      <c r="G20" s="166"/>
      <c r="H20" s="167">
        <v>2.9201</v>
      </c>
      <c r="I20" s="168"/>
      <c r="J20" s="71">
        <v>0.045</v>
      </c>
      <c r="K20" s="71">
        <v>0.037</v>
      </c>
      <c r="L20" s="71">
        <v>0.063</v>
      </c>
      <c r="M20" s="71">
        <v>0.051000000000000004</v>
      </c>
      <c r="N20" s="71">
        <v>0.05600000000000001</v>
      </c>
      <c r="O20" s="71">
        <v>0.057999999999999996</v>
      </c>
      <c r="P20" s="71">
        <v>0.061</v>
      </c>
      <c r="Q20" s="71">
        <v>0.037000000000000005</v>
      </c>
      <c r="R20" s="71">
        <v>0.027</v>
      </c>
      <c r="S20" s="71">
        <v>0.02</v>
      </c>
      <c r="T20" s="169">
        <v>55.9</v>
      </c>
      <c r="U20" s="71">
        <v>0.02</v>
      </c>
    </row>
    <row r="21" spans="1:21" ht="12.75">
      <c r="A21" s="85" t="s">
        <v>628</v>
      </c>
      <c r="B21" s="86" t="s">
        <v>629</v>
      </c>
      <c r="C21" s="109" t="str">
        <f t="shared" si="0"/>
        <v>10 lat/a od dnia zakupu</v>
      </c>
      <c r="D21" s="109">
        <v>38808</v>
      </c>
      <c r="E21" s="109">
        <v>38837</v>
      </c>
      <c r="F21" s="110">
        <v>100</v>
      </c>
      <c r="G21" s="166"/>
      <c r="H21" s="167">
        <v>2.2659</v>
      </c>
      <c r="I21" s="168"/>
      <c r="J21" s="71">
        <v>0.0475</v>
      </c>
      <c r="K21" s="71">
        <v>0.039</v>
      </c>
      <c r="L21" s="71">
        <v>0.062</v>
      </c>
      <c r="M21" s="71">
        <v>0.053000000000000005</v>
      </c>
      <c r="N21" s="71">
        <v>0.049</v>
      </c>
      <c r="O21" s="71">
        <v>0.05600000000000001</v>
      </c>
      <c r="P21" s="71">
        <v>0.063</v>
      </c>
      <c r="Q21" s="71">
        <v>0.033</v>
      </c>
      <c r="R21" s="71">
        <v>0.027</v>
      </c>
      <c r="S21" s="71">
        <v>0.02</v>
      </c>
      <c r="T21" s="169">
        <v>55.08</v>
      </c>
      <c r="U21" s="71">
        <v>0.02</v>
      </c>
    </row>
    <row r="22" spans="1:21" ht="12.75">
      <c r="A22" s="85" t="s">
        <v>634</v>
      </c>
      <c r="B22" s="86" t="s">
        <v>635</v>
      </c>
      <c r="C22" s="109" t="str">
        <f t="shared" si="0"/>
        <v>10 lat/a od dnia zakupu</v>
      </c>
      <c r="D22" s="109">
        <v>38838</v>
      </c>
      <c r="E22" s="109">
        <v>38868</v>
      </c>
      <c r="F22" s="110">
        <v>100</v>
      </c>
      <c r="G22" s="166"/>
      <c r="H22" s="167">
        <v>2.144</v>
      </c>
      <c r="I22" s="168"/>
      <c r="J22" s="71">
        <v>0.0475</v>
      </c>
      <c r="K22" s="71">
        <v>0.045</v>
      </c>
      <c r="L22" s="71">
        <v>0.061</v>
      </c>
      <c r="M22" s="71">
        <v>0.05600000000000001</v>
      </c>
      <c r="N22" s="71">
        <v>0.046</v>
      </c>
      <c r="O22" s="71">
        <v>0.063</v>
      </c>
      <c r="P22" s="71">
        <v>0.059</v>
      </c>
      <c r="Q22" s="71">
        <v>0.03</v>
      </c>
      <c r="R22" s="71">
        <v>0.027</v>
      </c>
      <c r="S22" s="71">
        <v>0.02</v>
      </c>
      <c r="T22" s="169">
        <v>55.82</v>
      </c>
      <c r="U22" s="71">
        <v>0.02</v>
      </c>
    </row>
    <row r="23" spans="1:21" ht="12.75">
      <c r="A23" s="85" t="s">
        <v>643</v>
      </c>
      <c r="B23" s="86" t="s">
        <v>644</v>
      </c>
      <c r="C23" s="109" t="str">
        <f t="shared" si="0"/>
        <v>10 lat/a od dnia zakupu</v>
      </c>
      <c r="D23" s="109">
        <v>38869</v>
      </c>
      <c r="E23" s="109">
        <v>38898</v>
      </c>
      <c r="F23" s="110">
        <v>100</v>
      </c>
      <c r="G23" s="166"/>
      <c r="H23" s="167">
        <v>4.212</v>
      </c>
      <c r="I23" s="168"/>
      <c r="J23" s="71">
        <v>0.0525</v>
      </c>
      <c r="K23" s="71">
        <v>0.043</v>
      </c>
      <c r="L23" s="71">
        <v>0.06</v>
      </c>
      <c r="M23" s="71">
        <v>0.06</v>
      </c>
      <c r="N23" s="71">
        <v>0.044</v>
      </c>
      <c r="O23" s="71">
        <v>0.065</v>
      </c>
      <c r="P23" s="71">
        <v>0.06</v>
      </c>
      <c r="Q23" s="71">
        <v>0.028</v>
      </c>
      <c r="R23" s="71">
        <v>0.023</v>
      </c>
      <c r="S23" s="71">
        <v>0.02</v>
      </c>
      <c r="T23" s="169">
        <v>55.93</v>
      </c>
      <c r="U23" s="71">
        <v>0.02</v>
      </c>
    </row>
    <row r="24" spans="1:21" ht="12.75">
      <c r="A24" s="85" t="s">
        <v>649</v>
      </c>
      <c r="B24" s="86" t="s">
        <v>650</v>
      </c>
      <c r="C24" s="109" t="str">
        <f t="shared" si="0"/>
        <v>10 lat/a od dnia zakupu</v>
      </c>
      <c r="D24" s="109">
        <v>38899</v>
      </c>
      <c r="E24" s="109">
        <v>38929</v>
      </c>
      <c r="F24" s="110">
        <v>100</v>
      </c>
      <c r="G24" s="166"/>
      <c r="H24" s="167">
        <v>9.5823</v>
      </c>
      <c r="I24" s="168"/>
      <c r="J24" s="71">
        <v>0.055</v>
      </c>
      <c r="K24" s="71">
        <v>0.048</v>
      </c>
      <c r="L24" s="71">
        <v>0.069</v>
      </c>
      <c r="M24" s="71">
        <v>0.061000000000000006</v>
      </c>
      <c r="N24" s="71">
        <v>0.047</v>
      </c>
      <c r="O24" s="71">
        <v>0.07500000000000001</v>
      </c>
      <c r="P24" s="71">
        <v>0.061000000000000006</v>
      </c>
      <c r="Q24" s="71">
        <v>0.030000000000000002</v>
      </c>
      <c r="R24" s="71">
        <v>0.027000000000000003</v>
      </c>
      <c r="S24" s="71">
        <v>0.025</v>
      </c>
      <c r="T24" s="169">
        <v>62.37</v>
      </c>
      <c r="U24" s="71">
        <v>0.025</v>
      </c>
    </row>
    <row r="25" spans="1:21" ht="12.75">
      <c r="A25" s="85" t="s">
        <v>657</v>
      </c>
      <c r="B25" s="86" t="s">
        <v>658</v>
      </c>
      <c r="C25" s="109" t="str">
        <f t="shared" si="0"/>
        <v>10 lat/a od dnia zakupu</v>
      </c>
      <c r="D25" s="109">
        <v>38930</v>
      </c>
      <c r="E25" s="109">
        <v>38960</v>
      </c>
      <c r="F25" s="110">
        <v>100</v>
      </c>
      <c r="G25" s="166"/>
      <c r="H25" s="167">
        <v>9.592</v>
      </c>
      <c r="I25" s="168"/>
      <c r="J25" s="71">
        <v>0.055</v>
      </c>
      <c r="K25" s="71">
        <v>0.051</v>
      </c>
      <c r="L25" s="71">
        <v>0.07100000000000001</v>
      </c>
      <c r="M25" s="71">
        <v>0.060000000000000005</v>
      </c>
      <c r="N25" s="71">
        <v>0.048</v>
      </c>
      <c r="O25" s="71">
        <v>0.067</v>
      </c>
      <c r="P25" s="71">
        <v>0.068</v>
      </c>
      <c r="Q25" s="71">
        <v>0.027000000000000003</v>
      </c>
      <c r="R25" s="71">
        <v>0.028</v>
      </c>
      <c r="S25" s="71">
        <v>0.025</v>
      </c>
      <c r="T25" s="169">
        <v>62.68</v>
      </c>
      <c r="U25" s="71">
        <v>0.025</v>
      </c>
    </row>
    <row r="26" spans="1:21" ht="12.75">
      <c r="A26" s="85" t="s">
        <v>663</v>
      </c>
      <c r="B26" s="86" t="s">
        <v>664</v>
      </c>
      <c r="C26" s="109" t="str">
        <f t="shared" si="0"/>
        <v>10 lat/a od dnia zakupu</v>
      </c>
      <c r="D26" s="109">
        <v>38961</v>
      </c>
      <c r="E26" s="109">
        <v>38990</v>
      </c>
      <c r="F26" s="110">
        <v>100</v>
      </c>
      <c r="G26" s="166"/>
      <c r="H26" s="167">
        <v>6.6937</v>
      </c>
      <c r="I26" s="168"/>
      <c r="J26" s="71">
        <v>0.055</v>
      </c>
      <c r="K26" s="71">
        <v>0.048</v>
      </c>
      <c r="L26" s="71">
        <v>0.07300000000000001</v>
      </c>
      <c r="M26" s="71">
        <v>0.061000000000000006</v>
      </c>
      <c r="N26" s="71">
        <v>0.045</v>
      </c>
      <c r="O26" s="71">
        <v>0.066</v>
      </c>
      <c r="P26" s="71">
        <v>0.065</v>
      </c>
      <c r="Q26" s="71">
        <v>0.036000000000000004</v>
      </c>
      <c r="R26" s="71">
        <v>0.025</v>
      </c>
      <c r="S26" s="71">
        <v>0.025</v>
      </c>
      <c r="T26" s="169">
        <v>62.54</v>
      </c>
      <c r="U26" s="71">
        <v>0.025</v>
      </c>
    </row>
    <row r="27" spans="1:21" ht="12.75">
      <c r="A27" s="85" t="s">
        <v>672</v>
      </c>
      <c r="B27" s="86" t="s">
        <v>673</v>
      </c>
      <c r="C27" s="109" t="str">
        <f t="shared" si="0"/>
        <v>10 lat/a od dnia zakupu</v>
      </c>
      <c r="D27" s="109">
        <v>38991</v>
      </c>
      <c r="E27" s="109">
        <v>39021</v>
      </c>
      <c r="F27" s="110">
        <v>100</v>
      </c>
      <c r="G27" s="166"/>
      <c r="H27" s="167">
        <v>7.7655</v>
      </c>
      <c r="I27" s="168"/>
      <c r="J27" s="71">
        <v>0.055</v>
      </c>
      <c r="K27" s="71">
        <v>0.04</v>
      </c>
      <c r="L27" s="71">
        <v>0.07300000000000001</v>
      </c>
      <c r="M27" s="71">
        <v>0.062000000000000006</v>
      </c>
      <c r="N27" s="71">
        <v>0.045</v>
      </c>
      <c r="O27" s="71">
        <v>0.068</v>
      </c>
      <c r="P27" s="71">
        <v>0.063</v>
      </c>
      <c r="Q27" s="71">
        <v>0.036000000000000004</v>
      </c>
      <c r="R27" s="71">
        <v>0.025</v>
      </c>
      <c r="S27" s="71">
        <v>0.025</v>
      </c>
      <c r="T27" s="169">
        <v>61.45</v>
      </c>
      <c r="U27" s="71">
        <v>0.025</v>
      </c>
    </row>
    <row r="28" spans="1:21" ht="12.75">
      <c r="A28" s="85" t="s">
        <v>674</v>
      </c>
      <c r="B28" s="86" t="s">
        <v>675</v>
      </c>
      <c r="C28" s="109" t="str">
        <f t="shared" si="0"/>
        <v>10 lat/a od dnia zakupu</v>
      </c>
      <c r="D28" s="109">
        <v>39022</v>
      </c>
      <c r="E28" s="109">
        <v>39051</v>
      </c>
      <c r="F28" s="110">
        <v>100</v>
      </c>
      <c r="G28" s="166"/>
      <c r="H28" s="167">
        <v>14.9878</v>
      </c>
      <c r="I28" s="168"/>
      <c r="J28" s="71">
        <v>0.055</v>
      </c>
      <c r="K28" s="71">
        <v>0.048</v>
      </c>
      <c r="L28" s="71">
        <v>0.07</v>
      </c>
      <c r="M28" s="71">
        <v>0.059000000000000004</v>
      </c>
      <c r="N28" s="71">
        <v>0.05</v>
      </c>
      <c r="O28" s="71">
        <v>0.064</v>
      </c>
      <c r="P28" s="71">
        <v>0.063</v>
      </c>
      <c r="Q28" s="71">
        <v>0.035</v>
      </c>
      <c r="R28" s="71">
        <v>0.025</v>
      </c>
      <c r="S28" s="71">
        <v>0.025</v>
      </c>
      <c r="T28" s="169">
        <v>61.79</v>
      </c>
      <c r="U28" s="71">
        <v>0.025</v>
      </c>
    </row>
    <row r="29" spans="1:21" ht="12.75">
      <c r="A29" s="90" t="s">
        <v>683</v>
      </c>
      <c r="B29" s="91" t="s">
        <v>684</v>
      </c>
      <c r="C29" s="111" t="str">
        <f t="shared" si="0"/>
        <v>10 lat/a od dnia zakupu</v>
      </c>
      <c r="D29" s="111">
        <v>39052</v>
      </c>
      <c r="E29" s="111">
        <v>39082</v>
      </c>
      <c r="F29" s="112">
        <v>100</v>
      </c>
      <c r="G29" s="170"/>
      <c r="H29" s="171">
        <v>15.9989</v>
      </c>
      <c r="I29" s="172"/>
      <c r="J29" s="67">
        <v>0.055</v>
      </c>
      <c r="K29" s="67">
        <v>0.055</v>
      </c>
      <c r="L29" s="67">
        <v>0.067</v>
      </c>
      <c r="M29" s="67">
        <v>0.056</v>
      </c>
      <c r="N29" s="67">
        <v>0.053</v>
      </c>
      <c r="O29" s="67">
        <v>0.068</v>
      </c>
      <c r="P29" s="67">
        <v>0.059000000000000004</v>
      </c>
      <c r="Q29" s="67">
        <v>0.033</v>
      </c>
      <c r="R29" s="67">
        <v>0.025</v>
      </c>
      <c r="S29" s="67">
        <v>0.025</v>
      </c>
      <c r="T29" s="173">
        <v>62.1</v>
      </c>
      <c r="U29" s="67">
        <v>0.025</v>
      </c>
    </row>
    <row r="30" spans="1:21" ht="12.75">
      <c r="A30" s="85" t="s">
        <v>685</v>
      </c>
      <c r="B30" s="86" t="s">
        <v>686</v>
      </c>
      <c r="C30" s="109" t="str">
        <f t="shared" si="0"/>
        <v>10 lat/a od dnia zakupu</v>
      </c>
      <c r="D30" s="109">
        <v>39083</v>
      </c>
      <c r="E30" s="109">
        <v>39113</v>
      </c>
      <c r="F30" s="110">
        <v>100</v>
      </c>
      <c r="G30" s="166"/>
      <c r="H30" s="167">
        <v>18.9134</v>
      </c>
      <c r="I30" s="168"/>
      <c r="J30" s="72">
        <v>0.055</v>
      </c>
      <c r="K30" s="72">
        <v>0.061000000000000006</v>
      </c>
      <c r="L30" s="72">
        <v>0.062000000000000006</v>
      </c>
      <c r="M30" s="72">
        <v>0.058</v>
      </c>
      <c r="N30" s="72">
        <v>0.052000000000000005</v>
      </c>
      <c r="O30" s="72">
        <v>0.07300000000000001</v>
      </c>
      <c r="P30" s="72">
        <v>0.053</v>
      </c>
      <c r="Q30" s="72">
        <v>0.031</v>
      </c>
      <c r="R30" s="72">
        <v>0.025</v>
      </c>
      <c r="S30" s="72">
        <v>0.025</v>
      </c>
      <c r="T30" s="174">
        <v>61.93</v>
      </c>
      <c r="U30" s="72">
        <v>0.025</v>
      </c>
    </row>
    <row r="31" spans="1:21" ht="12.75">
      <c r="A31" s="85" t="s">
        <v>691</v>
      </c>
      <c r="B31" s="86" t="s">
        <v>692</v>
      </c>
      <c r="C31" s="109" t="str">
        <f t="shared" si="0"/>
        <v>10 lat/a od dnia zakupu</v>
      </c>
      <c r="D31" s="109">
        <v>39114</v>
      </c>
      <c r="E31" s="109">
        <v>39141</v>
      </c>
      <c r="F31" s="110">
        <v>100</v>
      </c>
      <c r="G31" s="166"/>
      <c r="H31" s="167">
        <v>21.7794</v>
      </c>
      <c r="I31" s="168"/>
      <c r="J31" s="71">
        <v>0.0575</v>
      </c>
      <c r="K31" s="71">
        <v>0.0625</v>
      </c>
      <c r="L31" s="71">
        <v>0.0555</v>
      </c>
      <c r="M31" s="71">
        <v>0.0575</v>
      </c>
      <c r="N31" s="71">
        <v>0.0535</v>
      </c>
      <c r="O31" s="71">
        <v>0.0685</v>
      </c>
      <c r="P31" s="71">
        <v>0.0465</v>
      </c>
      <c r="Q31" s="71">
        <v>0.0295</v>
      </c>
      <c r="R31" s="71">
        <v>0.0225</v>
      </c>
      <c r="S31" s="71">
        <v>0.0225</v>
      </c>
      <c r="T31" s="169">
        <v>59.02</v>
      </c>
      <c r="U31" s="71">
        <v>0.0225</v>
      </c>
    </row>
    <row r="32" spans="1:21" ht="12.75">
      <c r="A32" s="85" t="s">
        <v>701</v>
      </c>
      <c r="B32" s="86" t="s">
        <v>708</v>
      </c>
      <c r="C32" s="109" t="str">
        <f t="shared" si="0"/>
        <v>10 lat/a od dnia zakupu</v>
      </c>
      <c r="D32" s="109">
        <v>39142</v>
      </c>
      <c r="E32" s="109">
        <v>39172</v>
      </c>
      <c r="F32" s="110">
        <v>100</v>
      </c>
      <c r="G32" s="166"/>
      <c r="H32" s="167">
        <v>13.7706</v>
      </c>
      <c r="I32" s="168"/>
      <c r="J32" s="71">
        <v>0.0575</v>
      </c>
      <c r="K32" s="71">
        <v>0.0655</v>
      </c>
      <c r="L32" s="71">
        <v>0.0535</v>
      </c>
      <c r="M32" s="71">
        <v>0.0585</v>
      </c>
      <c r="N32" s="71">
        <v>0.0605</v>
      </c>
      <c r="O32" s="71">
        <v>0.0635</v>
      </c>
      <c r="P32" s="71">
        <v>0.0395</v>
      </c>
      <c r="Q32" s="71">
        <v>0.0295</v>
      </c>
      <c r="R32" s="71">
        <v>0.0225</v>
      </c>
      <c r="S32" s="71">
        <v>0.0225</v>
      </c>
      <c r="T32" s="169">
        <v>58.56</v>
      </c>
      <c r="U32" s="71">
        <v>0.0225</v>
      </c>
    </row>
    <row r="33" spans="1:21" ht="12.75">
      <c r="A33" s="85" t="s">
        <v>709</v>
      </c>
      <c r="B33" s="86" t="s">
        <v>710</v>
      </c>
      <c r="C33" s="109" t="str">
        <f t="shared" si="0"/>
        <v>10 lat/a od dnia zakupu</v>
      </c>
      <c r="D33" s="109">
        <v>39173</v>
      </c>
      <c r="E33" s="109">
        <v>39202</v>
      </c>
      <c r="F33" s="110">
        <v>100</v>
      </c>
      <c r="G33" s="166"/>
      <c r="H33" s="167">
        <v>7.6545</v>
      </c>
      <c r="I33" s="168"/>
      <c r="J33" s="71">
        <v>0.0575</v>
      </c>
      <c r="K33" s="71">
        <v>0.0645</v>
      </c>
      <c r="L33" s="71">
        <v>0.0555</v>
      </c>
      <c r="M33" s="71">
        <v>0.0515</v>
      </c>
      <c r="N33" s="71">
        <v>0.0585</v>
      </c>
      <c r="O33" s="71">
        <v>0.0655</v>
      </c>
      <c r="P33" s="71">
        <v>0.035500000000000004</v>
      </c>
      <c r="Q33" s="71">
        <v>0.0295</v>
      </c>
      <c r="R33" s="71">
        <v>0.0225</v>
      </c>
      <c r="S33" s="71">
        <v>0.0225</v>
      </c>
      <c r="T33" s="169">
        <v>57.05</v>
      </c>
      <c r="U33" s="71">
        <v>0.0225</v>
      </c>
    </row>
    <row r="34" spans="1:21" ht="12.75">
      <c r="A34" s="85" t="s">
        <v>717</v>
      </c>
      <c r="B34" s="86" t="s">
        <v>718</v>
      </c>
      <c r="C34" s="109" t="str">
        <f t="shared" si="0"/>
        <v>10 lat/a od dnia zakupu</v>
      </c>
      <c r="D34" s="109">
        <v>39203</v>
      </c>
      <c r="E34" s="109">
        <v>39233</v>
      </c>
      <c r="F34" s="110">
        <v>100</v>
      </c>
      <c r="G34" s="166"/>
      <c r="H34" s="167">
        <v>31.6616</v>
      </c>
      <c r="I34" s="168"/>
      <c r="J34" s="71">
        <v>0.0575</v>
      </c>
      <c r="K34" s="71">
        <v>0.066</v>
      </c>
      <c r="L34" s="71">
        <v>0.061000000000000006</v>
      </c>
      <c r="M34" s="71">
        <v>0.051000000000000004</v>
      </c>
      <c r="N34" s="71">
        <v>0.068</v>
      </c>
      <c r="O34" s="71">
        <v>0.064</v>
      </c>
      <c r="P34" s="71">
        <v>0.035</v>
      </c>
      <c r="Q34" s="71">
        <v>0.032</v>
      </c>
      <c r="R34" s="71">
        <v>0.025</v>
      </c>
      <c r="S34" s="71">
        <v>0.025</v>
      </c>
      <c r="T34" s="169">
        <v>60.3</v>
      </c>
      <c r="U34" s="71">
        <v>0.025</v>
      </c>
    </row>
    <row r="35" spans="1:21" ht="12.75">
      <c r="A35" s="85" t="s">
        <v>723</v>
      </c>
      <c r="B35" s="86" t="s">
        <v>724</v>
      </c>
      <c r="C35" s="109" t="str">
        <f t="shared" si="0"/>
        <v>10 lat/a od dnia zakupu</v>
      </c>
      <c r="D35" s="109">
        <v>39234</v>
      </c>
      <c r="E35" s="109">
        <v>39263</v>
      </c>
      <c r="F35" s="110">
        <v>100</v>
      </c>
      <c r="G35" s="166"/>
      <c r="H35" s="167">
        <v>8.877</v>
      </c>
      <c r="I35" s="168"/>
      <c r="J35" s="71">
        <v>0.0575</v>
      </c>
      <c r="K35" s="71">
        <v>0.065</v>
      </c>
      <c r="L35" s="71">
        <v>0.065</v>
      </c>
      <c r="M35" s="71">
        <v>0.049</v>
      </c>
      <c r="N35" s="71">
        <v>0.07</v>
      </c>
      <c r="O35" s="71">
        <v>0.065</v>
      </c>
      <c r="P35" s="71">
        <v>0.033</v>
      </c>
      <c r="Q35" s="71">
        <v>0.028</v>
      </c>
      <c r="R35" s="71">
        <v>0.025</v>
      </c>
      <c r="S35" s="71">
        <v>0.025</v>
      </c>
      <c r="T35" s="169">
        <v>59.97</v>
      </c>
      <c r="U35" s="71">
        <v>0.025</v>
      </c>
    </row>
    <row r="36" spans="1:21" ht="12.75">
      <c r="A36" s="85" t="s">
        <v>729</v>
      </c>
      <c r="B36" s="86" t="s">
        <v>730</v>
      </c>
      <c r="C36" s="109" t="str">
        <f t="shared" si="0"/>
        <v>10 lat/a od dnia zakupu</v>
      </c>
      <c r="D36" s="109">
        <v>39264</v>
      </c>
      <c r="E36" s="109">
        <v>39294</v>
      </c>
      <c r="F36" s="110">
        <v>100</v>
      </c>
      <c r="G36" s="166"/>
      <c r="H36" s="167">
        <v>13.7538</v>
      </c>
      <c r="I36" s="168"/>
      <c r="J36" s="71">
        <v>0.06</v>
      </c>
      <c r="K36" s="71">
        <v>0.07150000000000001</v>
      </c>
      <c r="L36" s="71">
        <v>0.0635</v>
      </c>
      <c r="M36" s="71">
        <v>0.0495</v>
      </c>
      <c r="N36" s="71">
        <v>0.0775</v>
      </c>
      <c r="O36" s="71">
        <v>0.0635</v>
      </c>
      <c r="P36" s="71">
        <v>0.0325</v>
      </c>
      <c r="Q36" s="71">
        <v>0.0295</v>
      </c>
      <c r="R36" s="71">
        <v>0.0275</v>
      </c>
      <c r="S36" s="71">
        <v>0.0275</v>
      </c>
      <c r="T36" s="169">
        <v>63.02</v>
      </c>
      <c r="U36" s="71">
        <v>0.0275</v>
      </c>
    </row>
    <row r="37" spans="1:21" ht="12.75">
      <c r="A37" s="85" t="s">
        <v>739</v>
      </c>
      <c r="B37" s="86" t="s">
        <v>740</v>
      </c>
      <c r="C37" s="109" t="str">
        <f t="shared" si="0"/>
        <v>10 lat/a od dnia zakupu</v>
      </c>
      <c r="D37" s="109">
        <v>39295</v>
      </c>
      <c r="E37" s="109">
        <v>39325</v>
      </c>
      <c r="F37" s="110">
        <v>100</v>
      </c>
      <c r="G37" s="166"/>
      <c r="H37" s="167">
        <v>24.4549</v>
      </c>
      <c r="I37" s="168"/>
      <c r="J37" s="71">
        <v>0.06</v>
      </c>
      <c r="K37" s="71">
        <v>0.0735</v>
      </c>
      <c r="L37" s="71">
        <v>0.0625</v>
      </c>
      <c r="M37" s="71">
        <v>0.0505</v>
      </c>
      <c r="N37" s="71">
        <v>0.0695</v>
      </c>
      <c r="O37" s="71">
        <v>0.0705</v>
      </c>
      <c r="P37" s="71">
        <v>0.0295</v>
      </c>
      <c r="Q37" s="71">
        <v>0.0305</v>
      </c>
      <c r="R37" s="71">
        <v>0.0275</v>
      </c>
      <c r="S37" s="71">
        <v>0.0275</v>
      </c>
      <c r="T37" s="169">
        <v>62.87</v>
      </c>
      <c r="U37" s="71">
        <v>0.0275</v>
      </c>
    </row>
    <row r="38" spans="1:21" ht="12.75">
      <c r="A38" s="85" t="s">
        <v>745</v>
      </c>
      <c r="B38" s="86" t="s">
        <v>1240</v>
      </c>
      <c r="C38" s="109" t="str">
        <f t="shared" si="0"/>
        <v>10 lat/a od dnia zakupu</v>
      </c>
      <c r="D38" s="109">
        <v>39326</v>
      </c>
      <c r="E38" s="109">
        <v>39355</v>
      </c>
      <c r="F38" s="110">
        <v>100</v>
      </c>
      <c r="G38" s="166"/>
      <c r="H38" s="167">
        <v>44.4576</v>
      </c>
      <c r="I38" s="168"/>
      <c r="J38" s="71">
        <v>0.065</v>
      </c>
      <c r="K38" s="71">
        <v>0.0755</v>
      </c>
      <c r="L38" s="71">
        <v>0.0635</v>
      </c>
      <c r="M38" s="71">
        <v>0.0475</v>
      </c>
      <c r="N38" s="71">
        <v>0.06849999999999999</v>
      </c>
      <c r="O38" s="71">
        <v>0.0675</v>
      </c>
      <c r="P38" s="71">
        <v>0.0385</v>
      </c>
      <c r="Q38" s="71">
        <v>0.0275</v>
      </c>
      <c r="R38" s="71">
        <v>0.0275</v>
      </c>
      <c r="S38" s="71">
        <v>0.0275</v>
      </c>
      <c r="T38" s="169">
        <v>63.96</v>
      </c>
      <c r="U38" s="71">
        <v>0.0275</v>
      </c>
    </row>
    <row r="39" spans="1:21" ht="12.75">
      <c r="A39" s="85" t="s">
        <v>750</v>
      </c>
      <c r="B39" s="86" t="s">
        <v>751</v>
      </c>
      <c r="C39" s="109" t="str">
        <f t="shared" si="0"/>
        <v>10 lat/a od dnia zakupu</v>
      </c>
      <c r="D39" s="109">
        <v>39356</v>
      </c>
      <c r="E39" s="109">
        <v>39386</v>
      </c>
      <c r="F39" s="110">
        <v>100</v>
      </c>
      <c r="G39" s="166"/>
      <c r="H39" s="167">
        <v>34.4399</v>
      </c>
      <c r="I39" s="168"/>
      <c r="J39" s="71">
        <v>0.065</v>
      </c>
      <c r="K39" s="71">
        <v>0.0755</v>
      </c>
      <c r="L39" s="71">
        <v>0.0645</v>
      </c>
      <c r="M39" s="71">
        <v>0.0475</v>
      </c>
      <c r="N39" s="71">
        <v>0.0705</v>
      </c>
      <c r="O39" s="71">
        <v>0.0655</v>
      </c>
      <c r="P39" s="71">
        <v>0.0385</v>
      </c>
      <c r="Q39" s="71">
        <v>0.0275</v>
      </c>
      <c r="R39" s="71">
        <v>0.0275</v>
      </c>
      <c r="S39" s="71">
        <v>0.0275</v>
      </c>
      <c r="T39" s="169">
        <v>64.12</v>
      </c>
      <c r="U39" s="71">
        <v>0.0275</v>
      </c>
    </row>
    <row r="40" spans="1:21" ht="12.75">
      <c r="A40" s="85" t="s">
        <v>758</v>
      </c>
      <c r="B40" s="86" t="s">
        <v>759</v>
      </c>
      <c r="C40" s="109" t="str">
        <f t="shared" si="0"/>
        <v>10 lat/a od dnia zakupu</v>
      </c>
      <c r="D40" s="109">
        <v>39387</v>
      </c>
      <c r="E40" s="109">
        <v>39416</v>
      </c>
      <c r="F40" s="110">
        <v>100</v>
      </c>
      <c r="G40" s="166"/>
      <c r="H40" s="167">
        <v>46.5202</v>
      </c>
      <c r="I40" s="168"/>
      <c r="J40" s="71">
        <v>0.065</v>
      </c>
      <c r="K40" s="71">
        <v>0.0725</v>
      </c>
      <c r="L40" s="71">
        <v>0.0615</v>
      </c>
      <c r="M40" s="71">
        <v>0.052500000000000005</v>
      </c>
      <c r="N40" s="71">
        <v>0.0665</v>
      </c>
      <c r="O40" s="71">
        <v>0.0655</v>
      </c>
      <c r="P40" s="71">
        <v>0.0375</v>
      </c>
      <c r="Q40" s="71">
        <v>0.0275</v>
      </c>
      <c r="R40" s="71">
        <v>0.0275</v>
      </c>
      <c r="S40" s="71">
        <v>0.0275</v>
      </c>
      <c r="T40" s="169">
        <v>63.21</v>
      </c>
      <c r="U40" s="71">
        <v>0.0275</v>
      </c>
    </row>
    <row r="41" spans="1:21" ht="12.75">
      <c r="A41" s="90" t="s">
        <v>764</v>
      </c>
      <c r="B41" s="91" t="s">
        <v>765</v>
      </c>
      <c r="C41" s="111" t="str">
        <f t="shared" si="0"/>
        <v>10 lat/a od dnia zakupu</v>
      </c>
      <c r="D41" s="111">
        <v>39417</v>
      </c>
      <c r="E41" s="111">
        <v>39447</v>
      </c>
      <c r="F41" s="112">
        <v>100</v>
      </c>
      <c r="G41" s="170"/>
      <c r="H41" s="171">
        <v>107.2958</v>
      </c>
      <c r="I41" s="172"/>
      <c r="J41" s="67">
        <v>0.0675</v>
      </c>
      <c r="K41" s="67">
        <v>0.0695</v>
      </c>
      <c r="L41" s="67">
        <v>0.058499999999999996</v>
      </c>
      <c r="M41" s="67">
        <v>0.055499999999999994</v>
      </c>
      <c r="N41" s="67">
        <v>0.0705</v>
      </c>
      <c r="O41" s="67">
        <v>0.0615</v>
      </c>
      <c r="P41" s="67">
        <v>0.035500000000000004</v>
      </c>
      <c r="Q41" s="67">
        <v>0.0275</v>
      </c>
      <c r="R41" s="67">
        <v>0.0275</v>
      </c>
      <c r="S41" s="67">
        <v>0.0275</v>
      </c>
      <c r="T41" s="173">
        <v>62.82</v>
      </c>
      <c r="U41" s="67">
        <v>0.0275</v>
      </c>
    </row>
    <row r="42" spans="1:21" ht="12.75">
      <c r="A42" s="85" t="s">
        <v>770</v>
      </c>
      <c r="B42" s="86" t="s">
        <v>771</v>
      </c>
      <c r="C42" s="109" t="str">
        <f t="shared" si="0"/>
        <v>10 lat/a od dnia zakupu</v>
      </c>
      <c r="D42" s="109">
        <v>39448</v>
      </c>
      <c r="E42" s="109">
        <v>39478</v>
      </c>
      <c r="F42" s="110">
        <v>100</v>
      </c>
      <c r="G42" s="166"/>
      <c r="H42" s="167">
        <v>102.7634</v>
      </c>
      <c r="I42" s="168"/>
      <c r="J42" s="72">
        <v>0.0675</v>
      </c>
      <c r="K42" s="72">
        <v>0.0645</v>
      </c>
      <c r="L42" s="72">
        <v>0.0605</v>
      </c>
      <c r="M42" s="72">
        <v>0.05450000000000001</v>
      </c>
      <c r="N42" s="72">
        <v>0.0755</v>
      </c>
      <c r="O42" s="72">
        <v>0.055499999999999994</v>
      </c>
      <c r="P42" s="72">
        <v>0.0335</v>
      </c>
      <c r="Q42" s="72">
        <v>0.0275</v>
      </c>
      <c r="R42" s="72">
        <v>0.0275</v>
      </c>
      <c r="S42" s="72">
        <v>0.0275</v>
      </c>
      <c r="T42" s="174">
        <v>61.73</v>
      </c>
      <c r="U42" s="72">
        <v>0.0275</v>
      </c>
    </row>
    <row r="43" spans="1:21" ht="12.75">
      <c r="A43" s="85" t="s">
        <v>778</v>
      </c>
      <c r="B43" s="86" t="s">
        <v>779</v>
      </c>
      <c r="C43" s="109" t="str">
        <f t="shared" si="0"/>
        <v>10 lat/a od dnia zakupu</v>
      </c>
      <c r="D43" s="109">
        <v>39479</v>
      </c>
      <c r="E43" s="109">
        <v>39506</v>
      </c>
      <c r="F43" s="110">
        <v>100</v>
      </c>
      <c r="G43" s="166"/>
      <c r="H43" s="167">
        <v>41.9578</v>
      </c>
      <c r="I43" s="168"/>
      <c r="J43" s="71">
        <v>0.065</v>
      </c>
      <c r="K43" s="71">
        <v>0.0605</v>
      </c>
      <c r="L43" s="71">
        <v>0.0625</v>
      </c>
      <c r="M43" s="71">
        <v>0.058499999999999996</v>
      </c>
      <c r="N43" s="71">
        <v>0.0735</v>
      </c>
      <c r="O43" s="71">
        <v>0.051500000000000004</v>
      </c>
      <c r="P43" s="71">
        <v>0.0345</v>
      </c>
      <c r="Q43" s="71">
        <v>0.0275</v>
      </c>
      <c r="R43" s="71">
        <v>0.0275</v>
      </c>
      <c r="S43" s="71">
        <v>0.035500000000000004</v>
      </c>
      <c r="T43" s="169">
        <v>62.16</v>
      </c>
      <c r="U43" s="71">
        <v>0.0275</v>
      </c>
    </row>
    <row r="44" spans="1:21" ht="12.75">
      <c r="A44" s="85" t="s">
        <v>1401</v>
      </c>
      <c r="B44" s="86" t="s">
        <v>784</v>
      </c>
      <c r="C44" s="109" t="str">
        <f t="shared" si="0"/>
        <v>10 lat/a od dnia zakupu</v>
      </c>
      <c r="D44" s="109">
        <v>39508</v>
      </c>
      <c r="E44" s="109">
        <v>39538</v>
      </c>
      <c r="F44" s="110">
        <v>100</v>
      </c>
      <c r="G44" s="166"/>
      <c r="H44" s="167">
        <v>57.5002</v>
      </c>
      <c r="I44" s="168"/>
      <c r="J44" s="71">
        <v>0.0675</v>
      </c>
      <c r="K44" s="71">
        <v>0.058499999999999996</v>
      </c>
      <c r="L44" s="71">
        <v>0.0635</v>
      </c>
      <c r="M44" s="71">
        <v>0.0655</v>
      </c>
      <c r="N44" s="71">
        <v>0.06849999999999999</v>
      </c>
      <c r="O44" s="71">
        <v>0.0445</v>
      </c>
      <c r="P44" s="71">
        <v>0.0345</v>
      </c>
      <c r="Q44" s="71">
        <v>0.0275</v>
      </c>
      <c r="R44" s="71">
        <v>0.0275</v>
      </c>
      <c r="S44" s="71">
        <v>0.0455</v>
      </c>
      <c r="T44" s="169">
        <v>63.17</v>
      </c>
      <c r="U44" s="71">
        <v>0.0275</v>
      </c>
    </row>
    <row r="45" spans="1:21" ht="12.75">
      <c r="A45" s="85" t="s">
        <v>1402</v>
      </c>
      <c r="B45" s="86" t="s">
        <v>803</v>
      </c>
      <c r="C45" s="109" t="str">
        <f t="shared" si="0"/>
        <v>10 lat/a od dnia zakupu</v>
      </c>
      <c r="D45" s="109">
        <v>39539</v>
      </c>
      <c r="E45" s="109">
        <v>39568</v>
      </c>
      <c r="F45" s="110">
        <v>100</v>
      </c>
      <c r="G45" s="166"/>
      <c r="H45" s="167">
        <v>37.4633</v>
      </c>
      <c r="I45" s="168"/>
      <c r="J45" s="71">
        <v>0.0675</v>
      </c>
      <c r="K45" s="71">
        <v>0.0605</v>
      </c>
      <c r="L45" s="71">
        <v>0.056499999999999995</v>
      </c>
      <c r="M45" s="71">
        <v>0.0635</v>
      </c>
      <c r="N45" s="71">
        <v>0.0705</v>
      </c>
      <c r="O45" s="71">
        <v>0.0405</v>
      </c>
      <c r="P45" s="71">
        <v>0.0345</v>
      </c>
      <c r="Q45" s="71">
        <v>0.0275</v>
      </c>
      <c r="R45" s="71">
        <v>0.0275</v>
      </c>
      <c r="S45" s="71">
        <v>0.0495</v>
      </c>
      <c r="T45" s="169">
        <v>62.4</v>
      </c>
      <c r="U45" s="71">
        <v>0.0275</v>
      </c>
    </row>
    <row r="46" spans="1:21" ht="12.75">
      <c r="A46" s="85" t="s">
        <v>793</v>
      </c>
      <c r="B46" s="86" t="s">
        <v>794</v>
      </c>
      <c r="C46" s="109" t="str">
        <f t="shared" si="0"/>
        <v>10 lat/a od dnia zakupu</v>
      </c>
      <c r="D46" s="109">
        <v>39569</v>
      </c>
      <c r="E46" s="109">
        <v>39599</v>
      </c>
      <c r="F46" s="110">
        <v>100</v>
      </c>
      <c r="G46" s="166"/>
      <c r="H46" s="167">
        <v>30.7994</v>
      </c>
      <c r="I46" s="168"/>
      <c r="J46" s="71">
        <v>0.0675</v>
      </c>
      <c r="K46" s="71">
        <v>0.0635</v>
      </c>
      <c r="L46" s="71">
        <v>0.053500000000000006</v>
      </c>
      <c r="M46" s="71">
        <v>0.0705</v>
      </c>
      <c r="N46" s="71">
        <v>0.0665</v>
      </c>
      <c r="O46" s="71">
        <v>0.0375</v>
      </c>
      <c r="P46" s="71">
        <v>0.0345</v>
      </c>
      <c r="Q46" s="71">
        <v>0.0275</v>
      </c>
      <c r="R46" s="71">
        <v>0.0275</v>
      </c>
      <c r="S46" s="71">
        <f>U46+2%</f>
        <v>0.0475</v>
      </c>
      <c r="T46" s="169">
        <v>62.08</v>
      </c>
      <c r="U46" s="71">
        <v>0.0275</v>
      </c>
    </row>
    <row r="47" spans="1:21" ht="12.75">
      <c r="A47" s="85" t="s">
        <v>801</v>
      </c>
      <c r="B47" s="86" t="s">
        <v>802</v>
      </c>
      <c r="C47" s="109" t="str">
        <f t="shared" si="0"/>
        <v>10 lat/a od dnia zakupu</v>
      </c>
      <c r="D47" s="109">
        <v>39600</v>
      </c>
      <c r="E47" s="109">
        <v>39629</v>
      </c>
      <c r="F47" s="110">
        <v>100</v>
      </c>
      <c r="G47" s="166"/>
      <c r="H47" s="167">
        <v>22.2054</v>
      </c>
      <c r="I47" s="168"/>
      <c r="J47" s="71">
        <v>0.07</v>
      </c>
      <c r="K47" s="71">
        <v>0.0675</v>
      </c>
      <c r="L47" s="71">
        <v>0.051500000000000004</v>
      </c>
      <c r="M47" s="71">
        <v>0.0725</v>
      </c>
      <c r="N47" s="71">
        <v>0.0675</v>
      </c>
      <c r="O47" s="71">
        <v>0.035500000000000004</v>
      </c>
      <c r="P47" s="71">
        <v>0.0305</v>
      </c>
      <c r="Q47" s="71">
        <v>0.0275</v>
      </c>
      <c r="R47" s="71">
        <v>0.0275</v>
      </c>
      <c r="S47" s="71">
        <f>U47+2%</f>
        <v>0.0475</v>
      </c>
      <c r="T47" s="169">
        <v>62.27</v>
      </c>
      <c r="U47" s="71">
        <v>0.0275</v>
      </c>
    </row>
    <row r="48" spans="1:21" ht="12.75">
      <c r="A48" s="85" t="s">
        <v>808</v>
      </c>
      <c r="B48" s="86" t="s">
        <v>809</v>
      </c>
      <c r="C48" s="109" t="str">
        <f t="shared" si="0"/>
        <v>10 lat/a od dnia zakupu</v>
      </c>
      <c r="D48" s="109">
        <v>39630</v>
      </c>
      <c r="E48" s="109">
        <v>39660</v>
      </c>
      <c r="F48" s="110">
        <v>100</v>
      </c>
      <c r="G48" s="166"/>
      <c r="H48" s="167">
        <v>55.7283</v>
      </c>
      <c r="I48" s="168"/>
      <c r="J48" s="71">
        <v>0.0725</v>
      </c>
      <c r="K48" s="71">
        <v>0.0635</v>
      </c>
      <c r="L48" s="71">
        <v>0.0495</v>
      </c>
      <c r="M48" s="71">
        <v>0.0775</v>
      </c>
      <c r="N48" s="71">
        <v>0.0635</v>
      </c>
      <c r="O48" s="71">
        <v>0.0325</v>
      </c>
      <c r="P48" s="71">
        <v>0.0295</v>
      </c>
      <c r="Q48" s="71">
        <v>0.0275</v>
      </c>
      <c r="R48" s="71">
        <v>0.0275</v>
      </c>
      <c r="S48" s="71">
        <f>U48+1.9%</f>
        <v>0.0465</v>
      </c>
      <c r="T48" s="169">
        <v>61.1</v>
      </c>
      <c r="U48" s="71">
        <v>0.0275</v>
      </c>
    </row>
    <row r="49" spans="1:21" ht="12.75">
      <c r="A49" s="85" t="s">
        <v>814</v>
      </c>
      <c r="B49" s="86" t="s">
        <v>815</v>
      </c>
      <c r="C49" s="109" t="str">
        <f t="shared" si="0"/>
        <v>10 lat/a od dnia zakupu</v>
      </c>
      <c r="D49" s="109">
        <v>39661</v>
      </c>
      <c r="E49" s="109">
        <v>39691</v>
      </c>
      <c r="F49" s="110">
        <v>100</v>
      </c>
      <c r="G49" s="166"/>
      <c r="H49" s="167">
        <v>71.2069</v>
      </c>
      <c r="I49" s="168"/>
      <c r="J49" s="71">
        <v>0.0725</v>
      </c>
      <c r="K49" s="71">
        <v>0.0625</v>
      </c>
      <c r="L49" s="71">
        <v>0.0505</v>
      </c>
      <c r="M49" s="71">
        <v>0.0695</v>
      </c>
      <c r="N49" s="71">
        <v>0.0705</v>
      </c>
      <c r="O49" s="71">
        <v>0.0295</v>
      </c>
      <c r="P49" s="71">
        <v>0.0305</v>
      </c>
      <c r="Q49" s="71">
        <v>0.0275</v>
      </c>
      <c r="R49" s="71">
        <v>0.0275</v>
      </c>
      <c r="S49" s="71">
        <f>U49+1.5%</f>
        <v>0.042499999999999996</v>
      </c>
      <c r="T49" s="169">
        <v>60.03</v>
      </c>
      <c r="U49" s="71">
        <v>0.0275</v>
      </c>
    </row>
    <row r="50" spans="1:21" ht="12.75">
      <c r="A50" s="85" t="s">
        <v>826</v>
      </c>
      <c r="B50" s="86" t="s">
        <v>827</v>
      </c>
      <c r="C50" s="109" t="str">
        <f t="shared" si="0"/>
        <v>10 lat/a od dnia zakupu</v>
      </c>
      <c r="D50" s="109">
        <v>39692</v>
      </c>
      <c r="E50" s="109">
        <v>39721</v>
      </c>
      <c r="F50" s="110">
        <v>100</v>
      </c>
      <c r="G50" s="166"/>
      <c r="H50" s="167">
        <v>53.3944</v>
      </c>
      <c r="I50" s="168"/>
      <c r="J50" s="71">
        <v>0.0725</v>
      </c>
      <c r="K50" s="71">
        <v>0.0635</v>
      </c>
      <c r="L50" s="71">
        <v>0.0475</v>
      </c>
      <c r="M50" s="71">
        <v>0.06849999999999999</v>
      </c>
      <c r="N50" s="71">
        <v>0.0675</v>
      </c>
      <c r="O50" s="71">
        <v>0.0385</v>
      </c>
      <c r="P50" s="71">
        <v>0.0275</v>
      </c>
      <c r="Q50" s="71">
        <v>0.0275</v>
      </c>
      <c r="R50" s="71">
        <v>0.0275</v>
      </c>
      <c r="S50" s="71">
        <f>U50+1.7%</f>
        <v>0.0445</v>
      </c>
      <c r="T50" s="169">
        <v>60.36</v>
      </c>
      <c r="U50" s="71">
        <v>0.0275</v>
      </c>
    </row>
    <row r="51" spans="1:21" ht="12.75">
      <c r="A51" s="85" t="s">
        <v>828</v>
      </c>
      <c r="B51" s="86" t="s">
        <v>829</v>
      </c>
      <c r="C51" s="109" t="str">
        <f t="shared" si="0"/>
        <v>10 lat/a od dnia zakupu</v>
      </c>
      <c r="D51" s="109">
        <v>39722</v>
      </c>
      <c r="E51" s="109">
        <v>39752</v>
      </c>
      <c r="F51" s="110">
        <v>100</v>
      </c>
      <c r="G51" s="166"/>
      <c r="H51" s="167">
        <v>218.6173</v>
      </c>
      <c r="I51" s="168"/>
      <c r="J51" s="71">
        <v>0.07</v>
      </c>
      <c r="K51" s="71">
        <v>0.0645</v>
      </c>
      <c r="L51" s="71">
        <v>0.0475</v>
      </c>
      <c r="M51" s="71">
        <v>0.0705</v>
      </c>
      <c r="N51" s="71">
        <v>0.0655</v>
      </c>
      <c r="O51" s="71">
        <v>0.0385</v>
      </c>
      <c r="P51" s="71">
        <v>0.0275</v>
      </c>
      <c r="Q51" s="71">
        <v>0.0275</v>
      </c>
      <c r="R51" s="71">
        <v>0.0275</v>
      </c>
      <c r="S51" s="71">
        <f>U51+1.8%</f>
        <v>0.0455</v>
      </c>
      <c r="T51" s="169">
        <v>60.29</v>
      </c>
      <c r="U51" s="71">
        <v>0.0275</v>
      </c>
    </row>
    <row r="52" spans="1:21" ht="12.75">
      <c r="A52" s="85" t="s">
        <v>834</v>
      </c>
      <c r="B52" s="86" t="s">
        <v>835</v>
      </c>
      <c r="C52" s="109" t="str">
        <f t="shared" si="0"/>
        <v>10 lat/a od dnia zakupu</v>
      </c>
      <c r="D52" s="109">
        <v>39753</v>
      </c>
      <c r="E52" s="109">
        <v>39782</v>
      </c>
      <c r="F52" s="110">
        <v>100</v>
      </c>
      <c r="G52" s="166"/>
      <c r="H52" s="167">
        <v>76.1105</v>
      </c>
      <c r="I52" s="168"/>
      <c r="J52" s="71">
        <v>0.075</v>
      </c>
      <c r="K52" s="71">
        <v>0.0615</v>
      </c>
      <c r="L52" s="71">
        <v>0.052500000000000005</v>
      </c>
      <c r="M52" s="71">
        <v>0.0665</v>
      </c>
      <c r="N52" s="71">
        <v>0.0655</v>
      </c>
      <c r="O52" s="71">
        <v>0.0375</v>
      </c>
      <c r="P52" s="71">
        <v>0.0275</v>
      </c>
      <c r="Q52" s="71">
        <v>0.0275</v>
      </c>
      <c r="R52" s="71">
        <v>0.0275</v>
      </c>
      <c r="S52" s="71">
        <f>U52+2.2%</f>
        <v>0.0495</v>
      </c>
      <c r="T52" s="169">
        <v>61.21</v>
      </c>
      <c r="U52" s="71">
        <v>0.0275</v>
      </c>
    </row>
    <row r="53" spans="1:21" ht="12.75">
      <c r="A53" s="90" t="s">
        <v>846</v>
      </c>
      <c r="B53" s="91" t="s">
        <v>847</v>
      </c>
      <c r="C53" s="111" t="str">
        <f t="shared" si="0"/>
        <v>10 lat/a od dnia zakupu</v>
      </c>
      <c r="D53" s="111">
        <v>39783</v>
      </c>
      <c r="E53" s="111">
        <v>39813</v>
      </c>
      <c r="F53" s="112">
        <v>100</v>
      </c>
      <c r="G53" s="170"/>
      <c r="H53" s="171">
        <v>81.4088</v>
      </c>
      <c r="I53" s="172"/>
      <c r="J53" s="67">
        <v>0.075</v>
      </c>
      <c r="K53" s="67">
        <v>0.058499999999999996</v>
      </c>
      <c r="L53" s="67">
        <v>0.055499999999999994</v>
      </c>
      <c r="M53" s="67">
        <v>0.0705</v>
      </c>
      <c r="N53" s="67">
        <v>0.0615</v>
      </c>
      <c r="O53" s="67">
        <v>0.035500000000000004</v>
      </c>
      <c r="P53" s="67">
        <v>0.0275</v>
      </c>
      <c r="Q53" s="67">
        <v>0.0275</v>
      </c>
      <c r="R53" s="67">
        <v>0.0275</v>
      </c>
      <c r="S53" s="67">
        <f>U53+2.1%</f>
        <v>0.0485</v>
      </c>
      <c r="T53" s="173">
        <v>60.74</v>
      </c>
      <c r="U53" s="67">
        <v>0.0275</v>
      </c>
    </row>
    <row r="54" spans="1:21" ht="12.75">
      <c r="A54" s="85" t="s">
        <v>848</v>
      </c>
      <c r="B54" s="86" t="s">
        <v>849</v>
      </c>
      <c r="C54" s="109" t="str">
        <f t="shared" si="0"/>
        <v>10 lat/a od dnia zakupu</v>
      </c>
      <c r="D54" s="109">
        <v>39814</v>
      </c>
      <c r="E54" s="109">
        <v>39844</v>
      </c>
      <c r="F54" s="110">
        <v>100</v>
      </c>
      <c r="G54" s="166"/>
      <c r="H54" s="167">
        <v>72.2998</v>
      </c>
      <c r="I54" s="168"/>
      <c r="J54" s="72">
        <v>0.07</v>
      </c>
      <c r="K54" s="72">
        <v>0.0605</v>
      </c>
      <c r="L54" s="72">
        <v>0.05450000000000001</v>
      </c>
      <c r="M54" s="72">
        <v>0.0755</v>
      </c>
      <c r="N54" s="72">
        <v>0.055499999999999994</v>
      </c>
      <c r="O54" s="72">
        <v>0.0335</v>
      </c>
      <c r="P54" s="72">
        <v>0.0275</v>
      </c>
      <c r="Q54" s="72">
        <v>0.0275</v>
      </c>
      <c r="R54" s="72">
        <v>0.0275</v>
      </c>
      <c r="S54" s="72">
        <f>U54+2.5%</f>
        <v>0.052500000000000005</v>
      </c>
      <c r="T54" s="174">
        <v>60.28</v>
      </c>
      <c r="U54" s="72">
        <v>0.0275</v>
      </c>
    </row>
    <row r="55" spans="1:21" ht="12.75">
      <c r="A55" s="85" t="s">
        <v>854</v>
      </c>
      <c r="B55" s="86" t="s">
        <v>855</v>
      </c>
      <c r="C55" s="109" t="str">
        <f t="shared" si="0"/>
        <v>10 lat/a od dnia zakupu</v>
      </c>
      <c r="D55" s="109">
        <v>39845</v>
      </c>
      <c r="E55" s="109">
        <v>39872</v>
      </c>
      <c r="F55" s="110">
        <v>100</v>
      </c>
      <c r="G55" s="166"/>
      <c r="H55" s="167">
        <v>37.6858</v>
      </c>
      <c r="I55" s="168"/>
      <c r="J55" s="71">
        <v>0.065</v>
      </c>
      <c r="K55" s="71">
        <v>0.0625</v>
      </c>
      <c r="L55" s="71">
        <v>0.058499999999999996</v>
      </c>
      <c r="M55" s="71">
        <v>0.0735</v>
      </c>
      <c r="N55" s="71">
        <v>0.051500000000000004</v>
      </c>
      <c r="O55" s="71">
        <v>0.0345</v>
      </c>
      <c r="P55" s="71">
        <v>0.0275</v>
      </c>
      <c r="Q55" s="71">
        <v>0.0275</v>
      </c>
      <c r="R55" s="71">
        <v>0.035500000000000004</v>
      </c>
      <c r="S55" s="71">
        <f>U55+2.1%</f>
        <v>0.0485</v>
      </c>
      <c r="T55" s="169">
        <v>60.32</v>
      </c>
      <c r="U55" s="71">
        <v>0.0275</v>
      </c>
    </row>
    <row r="56" spans="1:21" ht="12.75">
      <c r="A56" s="85" t="s">
        <v>862</v>
      </c>
      <c r="B56" s="86" t="s">
        <v>863</v>
      </c>
      <c r="C56" s="109" t="str">
        <f t="shared" si="0"/>
        <v>10 lat/a od dnia zakupu</v>
      </c>
      <c r="D56" s="109">
        <v>39873</v>
      </c>
      <c r="E56" s="109">
        <v>39903</v>
      </c>
      <c r="F56" s="110">
        <v>100</v>
      </c>
      <c r="G56" s="166"/>
      <c r="H56" s="167">
        <v>93.3759</v>
      </c>
      <c r="I56" s="168"/>
      <c r="J56" s="71">
        <v>0.07</v>
      </c>
      <c r="K56" s="71">
        <v>0.0635</v>
      </c>
      <c r="L56" s="71">
        <v>0.0655</v>
      </c>
      <c r="M56" s="71">
        <v>0.06849999999999999</v>
      </c>
      <c r="N56" s="71">
        <v>0.0445</v>
      </c>
      <c r="O56" s="71">
        <v>0.0345</v>
      </c>
      <c r="P56" s="71">
        <v>0.0275</v>
      </c>
      <c r="Q56" s="71">
        <v>0.0275</v>
      </c>
      <c r="R56" s="71">
        <v>0.0455</v>
      </c>
      <c r="S56" s="71">
        <f>U56+1.9%</f>
        <v>0.0465</v>
      </c>
      <c r="T56" s="169">
        <v>61.7</v>
      </c>
      <c r="U56" s="71">
        <v>0.0275</v>
      </c>
    </row>
    <row r="57" spans="1:21" ht="12.75">
      <c r="A57" s="85" t="s">
        <v>867</v>
      </c>
      <c r="B57" s="86" t="s">
        <v>868</v>
      </c>
      <c r="C57" s="109" t="str">
        <f t="shared" si="0"/>
        <v>10 lat/a od dnia zakupu</v>
      </c>
      <c r="D57" s="109">
        <v>39904</v>
      </c>
      <c r="E57" s="109">
        <v>39933</v>
      </c>
      <c r="F57" s="110">
        <v>100</v>
      </c>
      <c r="G57" s="166"/>
      <c r="H57" s="167">
        <v>65.4337</v>
      </c>
      <c r="I57" s="168"/>
      <c r="J57" s="71">
        <v>0.07</v>
      </c>
      <c r="K57" s="71">
        <v>0.056499999999999995</v>
      </c>
      <c r="L57" s="71">
        <v>0.0635</v>
      </c>
      <c r="M57" s="71">
        <v>0.0705</v>
      </c>
      <c r="N57" s="71">
        <v>0.0405</v>
      </c>
      <c r="O57" s="71">
        <v>0.0345</v>
      </c>
      <c r="P57" s="71">
        <v>0.0275</v>
      </c>
      <c r="Q57" s="71">
        <v>0.0275</v>
      </c>
      <c r="R57" s="71">
        <v>0.0495</v>
      </c>
      <c r="S57" s="71">
        <f>U57+1.4%</f>
        <v>0.041499999999999995</v>
      </c>
      <c r="T57" s="169">
        <v>59.87</v>
      </c>
      <c r="U57" s="71">
        <v>0.0275</v>
      </c>
    </row>
    <row r="58" spans="1:21" ht="12.75">
      <c r="A58" s="85" t="s">
        <v>877</v>
      </c>
      <c r="B58" s="86" t="s">
        <v>878</v>
      </c>
      <c r="C58" s="109" t="str">
        <f t="shared" si="0"/>
        <v>10 lat/a od dnia zakupu</v>
      </c>
      <c r="D58" s="109">
        <v>39934</v>
      </c>
      <c r="E58" s="109">
        <v>39964</v>
      </c>
      <c r="F58" s="110">
        <v>100</v>
      </c>
      <c r="G58" s="166"/>
      <c r="H58" s="167">
        <v>68.6506</v>
      </c>
      <c r="I58" s="168"/>
      <c r="J58" s="71">
        <v>0.07</v>
      </c>
      <c r="K58" s="71">
        <v>0.053500000000000006</v>
      </c>
      <c r="L58" s="71">
        <v>0.0705</v>
      </c>
      <c r="M58" s="71">
        <v>0.0665</v>
      </c>
      <c r="N58" s="71">
        <v>0.0375</v>
      </c>
      <c r="O58" s="71">
        <v>0.0345</v>
      </c>
      <c r="P58" s="71">
        <v>0.0275</v>
      </c>
      <c r="Q58" s="71">
        <v>0.0275</v>
      </c>
      <c r="R58" s="71">
        <f>U58+2%</f>
        <v>0.0475</v>
      </c>
      <c r="S58" s="71">
        <f>U58+1.3%</f>
        <v>0.0405</v>
      </c>
      <c r="T58" s="169">
        <v>58.94</v>
      </c>
      <c r="U58" s="71">
        <v>0.0275</v>
      </c>
    </row>
    <row r="59" spans="1:21" ht="12.75">
      <c r="A59" s="85" t="s">
        <v>879</v>
      </c>
      <c r="B59" s="86" t="s">
        <v>880</v>
      </c>
      <c r="C59" s="109" t="str">
        <f t="shared" si="0"/>
        <v>10 lat/a od dnia zakupu</v>
      </c>
      <c r="D59" s="109">
        <v>39965</v>
      </c>
      <c r="E59" s="109">
        <v>39994</v>
      </c>
      <c r="F59" s="110">
        <v>100</v>
      </c>
      <c r="G59" s="166"/>
      <c r="H59" s="167">
        <v>86.1989</v>
      </c>
      <c r="I59" s="168"/>
      <c r="J59" s="71">
        <v>0.07</v>
      </c>
      <c r="K59" s="71">
        <v>0.051500000000000004</v>
      </c>
      <c r="L59" s="71">
        <v>0.0725</v>
      </c>
      <c r="M59" s="71">
        <v>0.0675</v>
      </c>
      <c r="N59" s="71">
        <v>0.035500000000000004</v>
      </c>
      <c r="O59" s="71">
        <v>0.0305</v>
      </c>
      <c r="P59" s="71">
        <v>0.0275</v>
      </c>
      <c r="Q59" s="71">
        <v>0.0275</v>
      </c>
      <c r="R59" s="71">
        <f>U59+2%</f>
        <v>0.0475</v>
      </c>
      <c r="S59" s="71">
        <f>U59+1.6%</f>
        <v>0.0435</v>
      </c>
      <c r="T59" s="169">
        <v>58.62</v>
      </c>
      <c r="U59" s="71">
        <v>0.0275</v>
      </c>
    </row>
    <row r="60" spans="1:21" ht="12.75">
      <c r="A60" s="85" t="s">
        <v>889</v>
      </c>
      <c r="B60" s="86" t="s">
        <v>890</v>
      </c>
      <c r="C60" s="109" t="str">
        <f t="shared" si="0"/>
        <v>10 lat/a od dnia zakupu</v>
      </c>
      <c r="D60" s="109">
        <v>39995</v>
      </c>
      <c r="E60" s="109">
        <v>40025</v>
      </c>
      <c r="F60" s="110">
        <v>100</v>
      </c>
      <c r="G60" s="166"/>
      <c r="H60" s="167">
        <v>108.5543</v>
      </c>
      <c r="I60" s="168"/>
      <c r="J60" s="71">
        <v>0.07</v>
      </c>
      <c r="K60" s="71">
        <v>0.0495</v>
      </c>
      <c r="L60" s="71">
        <v>0.0775</v>
      </c>
      <c r="M60" s="71">
        <v>0.0635</v>
      </c>
      <c r="N60" s="71">
        <v>0.0325</v>
      </c>
      <c r="O60" s="71">
        <v>0.0295</v>
      </c>
      <c r="P60" s="71">
        <v>0.0275</v>
      </c>
      <c r="Q60" s="71">
        <v>0.0275</v>
      </c>
      <c r="R60" s="71">
        <f>U60+1.9%</f>
        <v>0.0465</v>
      </c>
      <c r="S60" s="71">
        <f>U60+1.7%</f>
        <v>0.0445</v>
      </c>
      <c r="T60" s="169">
        <v>57.85</v>
      </c>
      <c r="U60" s="71">
        <v>0.0275</v>
      </c>
    </row>
    <row r="61" spans="1:21" ht="12.75">
      <c r="A61" s="85" t="s">
        <v>891</v>
      </c>
      <c r="B61" s="86" t="s">
        <v>892</v>
      </c>
      <c r="C61" s="109" t="str">
        <f t="shared" si="0"/>
        <v>10 lat/a od dnia zakupu</v>
      </c>
      <c r="D61" s="109">
        <v>40026</v>
      </c>
      <c r="E61" s="109">
        <v>40056</v>
      </c>
      <c r="F61" s="110">
        <v>100</v>
      </c>
      <c r="G61" s="166"/>
      <c r="H61" s="167">
        <v>63.5238</v>
      </c>
      <c r="I61" s="168"/>
      <c r="J61" s="71">
        <v>0.0675</v>
      </c>
      <c r="K61" s="71">
        <v>0.0505</v>
      </c>
      <c r="L61" s="71">
        <v>0.0695</v>
      </c>
      <c r="M61" s="71">
        <v>0.0705</v>
      </c>
      <c r="N61" s="71">
        <v>0.0295</v>
      </c>
      <c r="O61" s="71">
        <v>0.0305</v>
      </c>
      <c r="P61" s="71">
        <v>0.0275</v>
      </c>
      <c r="Q61" s="71">
        <v>0.0275</v>
      </c>
      <c r="R61" s="71">
        <f>U61+1.5%</f>
        <v>0.042499999999999996</v>
      </c>
      <c r="S61" s="71">
        <f>U61+2%</f>
        <v>0.0475</v>
      </c>
      <c r="T61" s="169">
        <v>57.04</v>
      </c>
      <c r="U61" s="71">
        <v>0.0275</v>
      </c>
    </row>
    <row r="62" spans="1:21" ht="12.75">
      <c r="A62" s="85" t="s">
        <v>899</v>
      </c>
      <c r="B62" s="86" t="s">
        <v>900</v>
      </c>
      <c r="C62" s="109" t="str">
        <f t="shared" si="0"/>
        <v>10 lat/a od dnia zakupu</v>
      </c>
      <c r="D62" s="109">
        <v>40057</v>
      </c>
      <c r="E62" s="109">
        <v>40086</v>
      </c>
      <c r="F62" s="110">
        <v>100</v>
      </c>
      <c r="G62" s="166"/>
      <c r="H62" s="167">
        <v>91.8265</v>
      </c>
      <c r="I62" s="168"/>
      <c r="J62" s="71">
        <v>0.0675</v>
      </c>
      <c r="K62" s="71">
        <v>0.0475</v>
      </c>
      <c r="L62" s="71">
        <v>0.06849999999999999</v>
      </c>
      <c r="M62" s="71">
        <v>0.0675</v>
      </c>
      <c r="N62" s="71">
        <v>0.0385</v>
      </c>
      <c r="O62" s="71">
        <v>0.0275</v>
      </c>
      <c r="P62" s="71">
        <v>0.0275</v>
      </c>
      <c r="Q62" s="71">
        <v>0.0275</v>
      </c>
      <c r="R62" s="71">
        <f>U62+1.7%</f>
        <v>0.0445</v>
      </c>
      <c r="S62" s="71">
        <f>U62+2%</f>
        <v>0.0475</v>
      </c>
      <c r="T62" s="169">
        <v>57.21</v>
      </c>
      <c r="U62" s="71">
        <v>0.0275</v>
      </c>
    </row>
    <row r="63" spans="1:21" ht="12.75">
      <c r="A63" s="85" t="s">
        <v>901</v>
      </c>
      <c r="B63" s="86" t="s">
        <v>902</v>
      </c>
      <c r="C63" s="109" t="str">
        <f t="shared" si="0"/>
        <v>10 lat/a od dnia zakupu</v>
      </c>
      <c r="D63" s="109">
        <v>40087</v>
      </c>
      <c r="E63" s="109">
        <v>40117</v>
      </c>
      <c r="F63" s="110">
        <v>100</v>
      </c>
      <c r="G63" s="166"/>
      <c r="H63" s="167">
        <v>110.1865</v>
      </c>
      <c r="I63" s="168"/>
      <c r="J63" s="71">
        <v>0.0675</v>
      </c>
      <c r="K63" s="71">
        <v>0.0475</v>
      </c>
      <c r="L63" s="71">
        <v>0.0705</v>
      </c>
      <c r="M63" s="71">
        <v>0.0655</v>
      </c>
      <c r="N63" s="71">
        <v>0.0385</v>
      </c>
      <c r="O63" s="71">
        <v>0.0275</v>
      </c>
      <c r="P63" s="71">
        <v>0.0275</v>
      </c>
      <c r="Q63" s="71">
        <v>0.0275</v>
      </c>
      <c r="R63" s="71">
        <f>U63+1.8%</f>
        <v>0.0455</v>
      </c>
      <c r="S63" s="71">
        <f>U63+2%</f>
        <v>0.0475</v>
      </c>
      <c r="T63" s="169">
        <v>57.36</v>
      </c>
      <c r="U63" s="71">
        <v>0.0275</v>
      </c>
    </row>
    <row r="64" spans="1:21" ht="12.75">
      <c r="A64" s="85" t="s">
        <v>911</v>
      </c>
      <c r="B64" s="86" t="s">
        <v>912</v>
      </c>
      <c r="C64" s="109" t="str">
        <f t="shared" si="0"/>
        <v>10 lat/a od dnia zakupu</v>
      </c>
      <c r="D64" s="109">
        <v>40118</v>
      </c>
      <c r="E64" s="109">
        <v>40147</v>
      </c>
      <c r="F64" s="110">
        <v>100</v>
      </c>
      <c r="G64" s="166"/>
      <c r="H64" s="167">
        <v>69.7671</v>
      </c>
      <c r="I64" s="168"/>
      <c r="J64" s="71">
        <v>0.0675</v>
      </c>
      <c r="K64" s="71">
        <v>0.052500000000000005</v>
      </c>
      <c r="L64" s="71">
        <v>0.0665</v>
      </c>
      <c r="M64" s="71">
        <v>0.0655</v>
      </c>
      <c r="N64" s="71">
        <v>0.0375</v>
      </c>
      <c r="O64" s="71">
        <v>0.0275</v>
      </c>
      <c r="P64" s="71">
        <v>0.0275</v>
      </c>
      <c r="Q64" s="71">
        <v>0.0275</v>
      </c>
      <c r="R64" s="71">
        <f>U64+2.2%</f>
        <v>0.0495</v>
      </c>
      <c r="S64" s="71">
        <f>$U64+1.9%</f>
        <v>0.0465</v>
      </c>
      <c r="T64" s="169">
        <v>57.82</v>
      </c>
      <c r="U64" s="71">
        <v>0.0275</v>
      </c>
    </row>
    <row r="65" spans="1:21" ht="12.75">
      <c r="A65" s="90" t="s">
        <v>919</v>
      </c>
      <c r="B65" s="91" t="s">
        <v>920</v>
      </c>
      <c r="C65" s="111" t="str">
        <f t="shared" si="0"/>
        <v>10 lat/a od dnia zakupu</v>
      </c>
      <c r="D65" s="111">
        <v>40148</v>
      </c>
      <c r="E65" s="111">
        <v>40178</v>
      </c>
      <c r="F65" s="112">
        <v>100</v>
      </c>
      <c r="G65" s="170"/>
      <c r="H65" s="171">
        <v>104.9709</v>
      </c>
      <c r="I65" s="172"/>
      <c r="J65" s="67">
        <v>0.0675</v>
      </c>
      <c r="K65" s="67">
        <v>0.055499999999999994</v>
      </c>
      <c r="L65" s="67">
        <v>0.0705</v>
      </c>
      <c r="M65" s="67">
        <v>0.0615</v>
      </c>
      <c r="N65" s="67">
        <v>0.035500000000000004</v>
      </c>
      <c r="O65" s="67">
        <v>0.0275</v>
      </c>
      <c r="P65" s="67">
        <v>0.0275</v>
      </c>
      <c r="Q65" s="67">
        <v>0.0275</v>
      </c>
      <c r="R65" s="67">
        <f>U65+2.1%</f>
        <v>0.0485</v>
      </c>
      <c r="S65" s="67">
        <f>$U65+1.8%</f>
        <v>0.0455</v>
      </c>
      <c r="T65" s="173">
        <v>57.66</v>
      </c>
      <c r="U65" s="67">
        <v>0.0275</v>
      </c>
    </row>
    <row r="66" spans="1:21" ht="12.75">
      <c r="A66" s="85" t="s">
        <v>923</v>
      </c>
      <c r="B66" s="86" t="s">
        <v>933</v>
      </c>
      <c r="C66" s="109" t="str">
        <f t="shared" si="0"/>
        <v>10 lat/a od dnia zakupu</v>
      </c>
      <c r="D66" s="109">
        <v>40179</v>
      </c>
      <c r="E66" s="109">
        <v>40209</v>
      </c>
      <c r="F66" s="110">
        <v>100</v>
      </c>
      <c r="G66" s="166"/>
      <c r="H66" s="167">
        <v>114.9734</v>
      </c>
      <c r="I66" s="168"/>
      <c r="J66" s="72">
        <v>0.0675</v>
      </c>
      <c r="K66" s="72">
        <v>0.05450000000000001</v>
      </c>
      <c r="L66" s="72">
        <v>0.0755</v>
      </c>
      <c r="M66" s="72">
        <v>0.055499999999999994</v>
      </c>
      <c r="N66" s="72">
        <v>0.0335</v>
      </c>
      <c r="O66" s="72">
        <v>0.0275</v>
      </c>
      <c r="P66" s="72">
        <v>0.0275</v>
      </c>
      <c r="Q66" s="72">
        <v>0.0275</v>
      </c>
      <c r="R66" s="72">
        <f>U66+2.5%</f>
        <v>0.052500000000000005</v>
      </c>
      <c r="S66" s="72">
        <f>$U66+1.3%</f>
        <v>0.0405</v>
      </c>
      <c r="T66" s="174">
        <v>56.89</v>
      </c>
      <c r="U66" s="72">
        <v>0.0275</v>
      </c>
    </row>
    <row r="67" spans="1:21" ht="12.75">
      <c r="A67" s="85" t="s">
        <v>932</v>
      </c>
      <c r="B67" s="86" t="s">
        <v>934</v>
      </c>
      <c r="C67" s="109" t="str">
        <f aca="true" t="shared" si="1" ref="C67:C101">"10"&amp;WykupCOI</f>
        <v>10 lat/a od dnia zakupu</v>
      </c>
      <c r="D67" s="109">
        <v>40210</v>
      </c>
      <c r="E67" s="109">
        <v>40237</v>
      </c>
      <c r="F67" s="110">
        <v>100</v>
      </c>
      <c r="G67" s="166"/>
      <c r="H67" s="167">
        <v>123.3402</v>
      </c>
      <c r="I67" s="168"/>
      <c r="J67" s="71">
        <v>0.0675</v>
      </c>
      <c r="K67" s="71">
        <v>0.058499999999999996</v>
      </c>
      <c r="L67" s="71">
        <v>0.0735</v>
      </c>
      <c r="M67" s="71">
        <v>0.051500000000000004</v>
      </c>
      <c r="N67" s="71">
        <v>0.0345</v>
      </c>
      <c r="O67" s="71">
        <v>0.0275</v>
      </c>
      <c r="P67" s="71">
        <v>0.0275</v>
      </c>
      <c r="Q67" s="71">
        <v>0.035500000000000004</v>
      </c>
      <c r="R67" s="71">
        <f>U67+2.1%</f>
        <v>0.0485</v>
      </c>
      <c r="S67" s="71">
        <f>$U67+1.1%</f>
        <v>0.0385</v>
      </c>
      <c r="T67" s="169">
        <v>57.07</v>
      </c>
      <c r="U67" s="71">
        <v>0.0275</v>
      </c>
    </row>
    <row r="68" spans="1:21" ht="12.75">
      <c r="A68" s="85" t="s">
        <v>937</v>
      </c>
      <c r="B68" s="86" t="s">
        <v>947</v>
      </c>
      <c r="C68" s="109" t="str">
        <f t="shared" si="1"/>
        <v>10 lat/a od dnia zakupu</v>
      </c>
      <c r="D68" s="109">
        <v>40238</v>
      </c>
      <c r="E68" s="109">
        <v>40268</v>
      </c>
      <c r="F68" s="110">
        <v>100</v>
      </c>
      <c r="G68" s="166"/>
      <c r="H68" s="167">
        <v>169.2268</v>
      </c>
      <c r="I68" s="168"/>
      <c r="J68" s="71">
        <v>0.0675</v>
      </c>
      <c r="K68" s="71">
        <v>0.0655</v>
      </c>
      <c r="L68" s="71">
        <v>0.06849999999999999</v>
      </c>
      <c r="M68" s="71">
        <v>0.0445</v>
      </c>
      <c r="N68" s="71">
        <v>0.0345</v>
      </c>
      <c r="O68" s="71">
        <v>0.0275</v>
      </c>
      <c r="P68" s="71">
        <v>0.0275</v>
      </c>
      <c r="Q68" s="71">
        <v>0.0455</v>
      </c>
      <c r="R68" s="71">
        <f>U68+1.9%</f>
        <v>0.0465</v>
      </c>
      <c r="S68" s="71">
        <f>$U68+0.9%</f>
        <v>0.036500000000000005</v>
      </c>
      <c r="T68" s="169">
        <v>57.23</v>
      </c>
      <c r="U68" s="71">
        <v>0.0275</v>
      </c>
    </row>
    <row r="69" spans="1:21" ht="12.75">
      <c r="A69" s="85" t="s">
        <v>945</v>
      </c>
      <c r="B69" s="86" t="s">
        <v>946</v>
      </c>
      <c r="C69" s="109" t="str">
        <f t="shared" si="1"/>
        <v>10 lat/a od dnia zakupu</v>
      </c>
      <c r="D69" s="109">
        <v>40269</v>
      </c>
      <c r="E69" s="109">
        <v>40298</v>
      </c>
      <c r="F69" s="110">
        <v>100</v>
      </c>
      <c r="G69" s="166"/>
      <c r="H69" s="167">
        <v>19.1695</v>
      </c>
      <c r="I69" s="168"/>
      <c r="J69" s="71">
        <v>0.0525</v>
      </c>
      <c r="K69" s="71">
        <v>0.066</v>
      </c>
      <c r="L69" s="71">
        <v>0.073</v>
      </c>
      <c r="M69" s="71">
        <v>0.043</v>
      </c>
      <c r="N69" s="71">
        <v>0.037</v>
      </c>
      <c r="O69" s="71">
        <v>0.03</v>
      </c>
      <c r="P69" s="71">
        <v>0.03</v>
      </c>
      <c r="Q69" s="71">
        <v>0.052000000000000005</v>
      </c>
      <c r="R69" s="71">
        <f>U69+1.4%</f>
        <v>0.044</v>
      </c>
      <c r="S69" s="71">
        <f>$U69+1.2%</f>
        <v>0.041999999999999996</v>
      </c>
      <c r="T69" s="169">
        <v>58.09</v>
      </c>
      <c r="U69" s="71">
        <v>0.03</v>
      </c>
    </row>
    <row r="70" spans="1:21" ht="12.75">
      <c r="A70" s="85" t="s">
        <v>948</v>
      </c>
      <c r="B70" s="86" t="s">
        <v>949</v>
      </c>
      <c r="C70" s="109" t="str">
        <f t="shared" si="1"/>
        <v>10 lat/a od dnia zakupu</v>
      </c>
      <c r="D70" s="109">
        <v>40299</v>
      </c>
      <c r="E70" s="109">
        <v>40329</v>
      </c>
      <c r="F70" s="110">
        <v>100</v>
      </c>
      <c r="G70" s="166"/>
      <c r="H70" s="167">
        <v>28.155</v>
      </c>
      <c r="I70" s="168"/>
      <c r="J70" s="71">
        <v>0.0525</v>
      </c>
      <c r="K70" s="71">
        <v>0.073</v>
      </c>
      <c r="L70" s="71">
        <v>0.069</v>
      </c>
      <c r="M70" s="71">
        <v>0.04</v>
      </c>
      <c r="N70" s="71">
        <v>0.037</v>
      </c>
      <c r="O70" s="71">
        <v>0.03</v>
      </c>
      <c r="P70" s="71">
        <v>0.03</v>
      </c>
      <c r="Q70" s="71">
        <f>U70+2%</f>
        <v>0.05</v>
      </c>
      <c r="R70" s="71">
        <f>U70+1.3%</f>
        <v>0.043</v>
      </c>
      <c r="S70" s="71">
        <f>$U70+1.7%</f>
        <v>0.047</v>
      </c>
      <c r="T70" s="169">
        <v>58.38</v>
      </c>
      <c r="U70" s="71">
        <v>0.03</v>
      </c>
    </row>
    <row r="71" spans="1:21" ht="12.75">
      <c r="A71" s="85" t="s">
        <v>957</v>
      </c>
      <c r="B71" s="86" t="s">
        <v>958</v>
      </c>
      <c r="C71" s="109" t="str">
        <f t="shared" si="1"/>
        <v>10 lat/a od dnia zakupu</v>
      </c>
      <c r="D71" s="109">
        <v>40330</v>
      </c>
      <c r="E71" s="109">
        <v>40328</v>
      </c>
      <c r="F71" s="110">
        <v>100</v>
      </c>
      <c r="G71" s="166"/>
      <c r="H71" s="167">
        <v>18.7773</v>
      </c>
      <c r="I71" s="168"/>
      <c r="J71" s="71">
        <v>0.0525</v>
      </c>
      <c r="K71" s="71">
        <v>0.075</v>
      </c>
      <c r="L71" s="71">
        <v>0.07</v>
      </c>
      <c r="M71" s="71">
        <v>0.038</v>
      </c>
      <c r="N71" s="71">
        <v>0.033</v>
      </c>
      <c r="O71" s="71">
        <v>0.03</v>
      </c>
      <c r="P71" s="71">
        <v>0.03</v>
      </c>
      <c r="Q71" s="71">
        <f>U71+2%</f>
        <v>0.05</v>
      </c>
      <c r="R71" s="71">
        <f>U71+1.6%</f>
        <v>0.046</v>
      </c>
      <c r="S71" s="71">
        <f>$U71+2.2%</f>
        <v>0.052000000000000005</v>
      </c>
      <c r="T71" s="169">
        <v>59.12</v>
      </c>
      <c r="U71" s="71">
        <v>0.03</v>
      </c>
    </row>
    <row r="72" spans="1:21" ht="12.75">
      <c r="A72" s="85" t="s">
        <v>963</v>
      </c>
      <c r="B72" s="86" t="s">
        <v>966</v>
      </c>
      <c r="C72" s="109" t="str">
        <f t="shared" si="1"/>
        <v>10 lat/a od dnia zakupu</v>
      </c>
      <c r="D72" s="109">
        <v>40360</v>
      </c>
      <c r="E72" s="109">
        <v>40390</v>
      </c>
      <c r="F72" s="110">
        <v>100</v>
      </c>
      <c r="G72" s="166"/>
      <c r="H72" s="167">
        <v>26.5991</v>
      </c>
      <c r="I72" s="168"/>
      <c r="J72" s="71">
        <v>0.0525</v>
      </c>
      <c r="K72" s="71">
        <v>0.08</v>
      </c>
      <c r="L72" s="71">
        <v>0.066</v>
      </c>
      <c r="M72" s="71">
        <v>0.034999999999999996</v>
      </c>
      <c r="N72" s="71">
        <v>0.032</v>
      </c>
      <c r="O72" s="71">
        <v>0.03</v>
      </c>
      <c r="P72" s="71">
        <v>0.03</v>
      </c>
      <c r="Q72" s="71">
        <f>U72+1.9%</f>
        <v>0.049</v>
      </c>
      <c r="R72" s="71">
        <f>U72+1.7%</f>
        <v>0.047</v>
      </c>
      <c r="S72" s="71">
        <f>$U72+2.4%</f>
        <v>0.054</v>
      </c>
      <c r="T72" s="169">
        <v>58.95</v>
      </c>
      <c r="U72" s="71">
        <v>0.03</v>
      </c>
    </row>
    <row r="73" spans="1:21" ht="12.75">
      <c r="A73" s="85" t="s">
        <v>973</v>
      </c>
      <c r="B73" s="86" t="s">
        <v>974</v>
      </c>
      <c r="C73" s="109" t="str">
        <f t="shared" si="1"/>
        <v>10 lat/a od dnia zakupu</v>
      </c>
      <c r="D73" s="109">
        <v>40391</v>
      </c>
      <c r="E73" s="109">
        <v>40421</v>
      </c>
      <c r="F73" s="110">
        <v>100</v>
      </c>
      <c r="G73" s="166"/>
      <c r="H73" s="167">
        <v>22.3678</v>
      </c>
      <c r="I73" s="168"/>
      <c r="J73" s="71">
        <v>0.0525</v>
      </c>
      <c r="K73" s="71">
        <v>0.07200000000000001</v>
      </c>
      <c r="L73" s="71">
        <v>0.073</v>
      </c>
      <c r="M73" s="71">
        <v>0.032</v>
      </c>
      <c r="N73" s="71">
        <v>0.033</v>
      </c>
      <c r="O73" s="71">
        <v>0.03</v>
      </c>
      <c r="P73" s="71">
        <v>0.03</v>
      </c>
      <c r="Q73" s="71">
        <f>U73+1.5%</f>
        <v>0.045</v>
      </c>
      <c r="R73" s="71">
        <f>U73+2%</f>
        <v>0.05</v>
      </c>
      <c r="S73" s="71">
        <f>$U73+2.6%</f>
        <v>0.056</v>
      </c>
      <c r="T73" s="169">
        <v>58.65</v>
      </c>
      <c r="U73" s="71">
        <v>0.03</v>
      </c>
    </row>
    <row r="74" spans="1:21" ht="12.75">
      <c r="A74" s="85" t="s">
        <v>979</v>
      </c>
      <c r="B74" s="86" t="s">
        <v>980</v>
      </c>
      <c r="C74" s="109" t="str">
        <f t="shared" si="1"/>
        <v>10 lat/a od dnia zakupu</v>
      </c>
      <c r="D74" s="109">
        <v>40422</v>
      </c>
      <c r="E74" s="109">
        <v>40451</v>
      </c>
      <c r="F74" s="110">
        <v>100</v>
      </c>
      <c r="G74" s="166"/>
      <c r="H74" s="167">
        <v>20.5595</v>
      </c>
      <c r="I74" s="168"/>
      <c r="J74" s="71">
        <v>0.0525</v>
      </c>
      <c r="K74" s="71">
        <v>0.071</v>
      </c>
      <c r="L74" s="71">
        <v>0.07</v>
      </c>
      <c r="M74" s="71">
        <v>0.041</v>
      </c>
      <c r="N74" s="71">
        <v>0.03</v>
      </c>
      <c r="O74" s="71">
        <v>0.03</v>
      </c>
      <c r="P74" s="71">
        <v>0.03</v>
      </c>
      <c r="Q74" s="71">
        <f>U74+1.7%</f>
        <v>0.047</v>
      </c>
      <c r="R74" s="71">
        <f>U74+2%</f>
        <v>0.05</v>
      </c>
      <c r="S74" s="71">
        <f>$U74+2.9%</f>
        <v>0.059</v>
      </c>
      <c r="T74" s="169">
        <v>59.73</v>
      </c>
      <c r="U74" s="71">
        <v>0.03</v>
      </c>
    </row>
    <row r="75" spans="1:21" ht="12.75">
      <c r="A75" s="85" t="s">
        <v>985</v>
      </c>
      <c r="B75" s="86" t="s">
        <v>986</v>
      </c>
      <c r="C75" s="109" t="str">
        <f t="shared" si="1"/>
        <v>10 lat/a od dnia zakupu</v>
      </c>
      <c r="D75" s="109">
        <v>40452</v>
      </c>
      <c r="E75" s="109">
        <v>40482</v>
      </c>
      <c r="F75" s="110">
        <v>100</v>
      </c>
      <c r="G75" s="166"/>
      <c r="H75" s="167">
        <v>41.4446</v>
      </c>
      <c r="I75" s="168"/>
      <c r="J75" s="71">
        <v>0.0525</v>
      </c>
      <c r="K75" s="71">
        <v>0.073</v>
      </c>
      <c r="L75" s="71">
        <v>0.068</v>
      </c>
      <c r="M75" s="71">
        <v>0.041</v>
      </c>
      <c r="N75" s="71">
        <v>0.03</v>
      </c>
      <c r="O75" s="71">
        <v>0.03</v>
      </c>
      <c r="P75" s="71">
        <v>0.03</v>
      </c>
      <c r="Q75" s="71">
        <f>U75+1.8%</f>
        <v>0.048</v>
      </c>
      <c r="R75" s="71">
        <f>U75+2%</f>
        <v>0.05</v>
      </c>
      <c r="S75" s="71">
        <f>$U75+2.9%</f>
        <v>0.059</v>
      </c>
      <c r="T75" s="169">
        <v>59.88</v>
      </c>
      <c r="U75" s="71">
        <v>0.03</v>
      </c>
    </row>
    <row r="76" spans="1:21" ht="12.75">
      <c r="A76" s="85" t="s">
        <v>994</v>
      </c>
      <c r="B76" s="86" t="s">
        <v>992</v>
      </c>
      <c r="C76" s="109" t="str">
        <f t="shared" si="1"/>
        <v>10 lat/a od dnia zakupu</v>
      </c>
      <c r="D76" s="109">
        <v>40483</v>
      </c>
      <c r="E76" s="109">
        <v>40512</v>
      </c>
      <c r="F76" s="110">
        <v>100</v>
      </c>
      <c r="G76" s="166"/>
      <c r="H76" s="167">
        <v>21.872</v>
      </c>
      <c r="I76" s="168"/>
      <c r="J76" s="71">
        <v>0.0525</v>
      </c>
      <c r="K76" s="71">
        <v>0.069</v>
      </c>
      <c r="L76" s="71">
        <v>0.068</v>
      </c>
      <c r="M76" s="71">
        <v>0.04</v>
      </c>
      <c r="N76" s="71">
        <v>0.03</v>
      </c>
      <c r="O76" s="71">
        <v>0.03</v>
      </c>
      <c r="P76" s="71">
        <v>0.03</v>
      </c>
      <c r="Q76" s="71">
        <f>U76+2.2%</f>
        <v>0.052000000000000005</v>
      </c>
      <c r="R76" s="71">
        <f>$U76+1.9%</f>
        <v>0.049</v>
      </c>
      <c r="S76" s="71">
        <f>$U76+2.6%</f>
        <v>0.056</v>
      </c>
      <c r="T76" s="169">
        <v>59.14</v>
      </c>
      <c r="U76" s="71">
        <v>0.03</v>
      </c>
    </row>
    <row r="77" spans="1:21" ht="12.75">
      <c r="A77" s="90" t="s">
        <v>999</v>
      </c>
      <c r="B77" s="91" t="s">
        <v>1000</v>
      </c>
      <c r="C77" s="111" t="str">
        <f t="shared" si="1"/>
        <v>10 lat/a od dnia zakupu</v>
      </c>
      <c r="D77" s="111">
        <v>40513</v>
      </c>
      <c r="E77" s="111">
        <v>40543</v>
      </c>
      <c r="F77" s="112">
        <v>100</v>
      </c>
      <c r="G77" s="170"/>
      <c r="H77" s="171">
        <v>27.9929</v>
      </c>
      <c r="I77" s="172"/>
      <c r="J77" s="67">
        <v>0.0525</v>
      </c>
      <c r="K77" s="67">
        <v>0.073</v>
      </c>
      <c r="L77" s="67">
        <v>0.064</v>
      </c>
      <c r="M77" s="67">
        <v>0.038</v>
      </c>
      <c r="N77" s="67">
        <v>0.03</v>
      </c>
      <c r="O77" s="67">
        <v>0.03</v>
      </c>
      <c r="P77" s="67">
        <v>0.03</v>
      </c>
      <c r="Q77" s="67">
        <f>U77+2.1%</f>
        <v>0.051000000000000004</v>
      </c>
      <c r="R77" s="67">
        <f>$U77+1.8%</f>
        <v>0.048</v>
      </c>
      <c r="S77" s="67">
        <f>$U77+2.5%</f>
        <v>0.055</v>
      </c>
      <c r="T77" s="173">
        <v>58.38</v>
      </c>
      <c r="U77" s="67">
        <v>0.03</v>
      </c>
    </row>
    <row r="78" spans="1:21" ht="12.75">
      <c r="A78" s="85" t="s">
        <v>1007</v>
      </c>
      <c r="B78" s="86" t="s">
        <v>1008</v>
      </c>
      <c r="C78" s="109" t="str">
        <f t="shared" si="1"/>
        <v>10 lat/a od dnia zakupu</v>
      </c>
      <c r="D78" s="109">
        <v>40544</v>
      </c>
      <c r="E78" s="109">
        <v>40574</v>
      </c>
      <c r="F78" s="110">
        <v>100</v>
      </c>
      <c r="G78" s="166"/>
      <c r="H78" s="167">
        <v>29.3</v>
      </c>
      <c r="I78" s="168"/>
      <c r="J78" s="72">
        <v>0.0525</v>
      </c>
      <c r="K78" s="72">
        <v>0.078</v>
      </c>
      <c r="L78" s="72">
        <v>0.057999999999999996</v>
      </c>
      <c r="M78" s="72">
        <v>0.036</v>
      </c>
      <c r="N78" s="72">
        <v>0.03</v>
      </c>
      <c r="O78" s="72">
        <v>0.03</v>
      </c>
      <c r="P78" s="72">
        <v>0.03</v>
      </c>
      <c r="Q78" s="72">
        <f>U78+2.5%</f>
        <v>0.055</v>
      </c>
      <c r="R78" s="72">
        <f>$U78+1.3%</f>
        <v>0.043</v>
      </c>
      <c r="S78" s="72">
        <f>$U78+2.6%</f>
        <v>0.056</v>
      </c>
      <c r="T78" s="174">
        <v>57.91</v>
      </c>
      <c r="U78" s="72">
        <v>0.03</v>
      </c>
    </row>
    <row r="79" spans="1:21" ht="12.75">
      <c r="A79" s="85" t="s">
        <v>1017</v>
      </c>
      <c r="B79" s="86" t="s">
        <v>1026</v>
      </c>
      <c r="C79" s="109" t="str">
        <f t="shared" si="1"/>
        <v>10 lat/a od dnia zakupu</v>
      </c>
      <c r="D79" s="109">
        <v>40575</v>
      </c>
      <c r="E79" s="109">
        <v>40602</v>
      </c>
      <c r="F79" s="110">
        <v>100</v>
      </c>
      <c r="G79" s="166"/>
      <c r="H79" s="167">
        <v>70.7128</v>
      </c>
      <c r="I79" s="168"/>
      <c r="J79" s="71">
        <v>0.0575</v>
      </c>
      <c r="K79" s="71">
        <v>0.076</v>
      </c>
      <c r="L79" s="71">
        <v>0.054</v>
      </c>
      <c r="M79" s="71">
        <v>0.037</v>
      </c>
      <c r="N79" s="71">
        <v>0.03</v>
      </c>
      <c r="O79" s="71">
        <v>0.03</v>
      </c>
      <c r="P79" s="71">
        <v>0.038</v>
      </c>
      <c r="Q79" s="71">
        <f>U79+2.1%</f>
        <v>0.051000000000000004</v>
      </c>
      <c r="R79" s="71">
        <f>$U79+1.1%</f>
        <v>0.041</v>
      </c>
      <c r="S79" s="71">
        <f>$U79+3.4%</f>
        <v>0.064</v>
      </c>
      <c r="T79" s="169">
        <v>59.43</v>
      </c>
      <c r="U79" s="71">
        <v>0.03</v>
      </c>
    </row>
    <row r="80" spans="1:21" ht="12.75">
      <c r="A80" s="85" t="s">
        <v>1018</v>
      </c>
      <c r="B80" s="86" t="s">
        <v>1027</v>
      </c>
      <c r="C80" s="109" t="str">
        <f t="shared" si="1"/>
        <v>10 lat/a od dnia zakupu</v>
      </c>
      <c r="D80" s="109">
        <v>40603</v>
      </c>
      <c r="E80" s="109">
        <v>40633</v>
      </c>
      <c r="F80" s="110">
        <v>100</v>
      </c>
      <c r="G80" s="166"/>
      <c r="H80" s="167">
        <v>52.0013</v>
      </c>
      <c r="I80" s="168"/>
      <c r="J80" s="71">
        <v>0.0575</v>
      </c>
      <c r="K80" s="71">
        <v>0.071</v>
      </c>
      <c r="L80" s="71">
        <v>0.047</v>
      </c>
      <c r="M80" s="71">
        <v>0.037</v>
      </c>
      <c r="N80" s="71">
        <v>0.03</v>
      </c>
      <c r="O80" s="71">
        <v>0.03</v>
      </c>
      <c r="P80" s="71">
        <v>0.048</v>
      </c>
      <c r="Q80" s="71">
        <f>U80+1.9%</f>
        <v>0.049</v>
      </c>
      <c r="R80" s="71">
        <f>$U80+0.9%</f>
        <v>0.039</v>
      </c>
      <c r="S80" s="71">
        <f>$U80+4.4%</f>
        <v>0.07400000000000001</v>
      </c>
      <c r="T80" s="169">
        <v>60.04</v>
      </c>
      <c r="U80" s="71">
        <v>0.03</v>
      </c>
    </row>
    <row r="81" spans="1:21" ht="12.75">
      <c r="A81" s="85" t="s">
        <v>1019</v>
      </c>
      <c r="B81" s="86" t="s">
        <v>1033</v>
      </c>
      <c r="C81" s="109" t="str">
        <f t="shared" si="1"/>
        <v>10 lat/a od dnia zakupu</v>
      </c>
      <c r="D81" s="109">
        <v>40634</v>
      </c>
      <c r="E81" s="109">
        <v>40663</v>
      </c>
      <c r="F81" s="110">
        <v>100</v>
      </c>
      <c r="G81" s="166"/>
      <c r="H81" s="167">
        <v>38.5638</v>
      </c>
      <c r="I81" s="168"/>
      <c r="J81" s="71">
        <v>0.0575</v>
      </c>
      <c r="K81" s="71">
        <v>0.073</v>
      </c>
      <c r="L81" s="71">
        <v>0.043</v>
      </c>
      <c r="M81" s="71">
        <v>0.037</v>
      </c>
      <c r="N81" s="71">
        <v>0.03</v>
      </c>
      <c r="O81" s="71">
        <v>0.03</v>
      </c>
      <c r="P81" s="71">
        <v>0.052000000000000005</v>
      </c>
      <c r="Q81" s="71">
        <f>U81+1.4%</f>
        <v>0.044</v>
      </c>
      <c r="R81" s="71">
        <f>$U81+1.2%</f>
        <v>0.041999999999999996</v>
      </c>
      <c r="S81" s="71">
        <f>$U81+4.7%</f>
        <v>0.077</v>
      </c>
      <c r="T81" s="169">
        <v>60.48</v>
      </c>
      <c r="U81" s="71">
        <v>0.03</v>
      </c>
    </row>
    <row r="82" spans="1:21" ht="12.75">
      <c r="A82" s="85" t="s">
        <v>1020</v>
      </c>
      <c r="B82" s="86" t="s">
        <v>1038</v>
      </c>
      <c r="C82" s="109" t="str">
        <f t="shared" si="1"/>
        <v>10 lat/a od dnia zakupu</v>
      </c>
      <c r="D82" s="109">
        <v>40664</v>
      </c>
      <c r="E82" s="109">
        <v>40694</v>
      </c>
      <c r="F82" s="110">
        <v>100</v>
      </c>
      <c r="G82" s="166"/>
      <c r="H82" s="167">
        <v>32.5395</v>
      </c>
      <c r="I82" s="168"/>
      <c r="J82" s="71">
        <v>0.0575</v>
      </c>
      <c r="K82" s="71">
        <v>0.069</v>
      </c>
      <c r="L82" s="71">
        <v>0.04</v>
      </c>
      <c r="M82" s="71">
        <v>0.037</v>
      </c>
      <c r="N82" s="71">
        <v>0.03</v>
      </c>
      <c r="O82" s="71">
        <v>0.03</v>
      </c>
      <c r="P82" s="71">
        <f>U82+2%</f>
        <v>0.05</v>
      </c>
      <c r="Q82" s="71">
        <f>U82+1.3%</f>
        <v>0.043</v>
      </c>
      <c r="R82" s="71">
        <f>$U82+1.7%</f>
        <v>0.047</v>
      </c>
      <c r="S82" s="71">
        <f>$U82+4.6%</f>
        <v>0.076</v>
      </c>
      <c r="T82" s="169">
        <v>59.58</v>
      </c>
      <c r="U82" s="71">
        <v>0.03</v>
      </c>
    </row>
    <row r="83" spans="1:21" ht="12.75">
      <c r="A83" s="85" t="s">
        <v>1021</v>
      </c>
      <c r="B83" s="86" t="s">
        <v>1041</v>
      </c>
      <c r="C83" s="109" t="str">
        <f t="shared" si="1"/>
        <v>10 lat/a od dnia zakupu</v>
      </c>
      <c r="D83" s="109">
        <v>40695</v>
      </c>
      <c r="E83" s="109">
        <v>40724</v>
      </c>
      <c r="F83" s="110">
        <v>100</v>
      </c>
      <c r="G83" s="166"/>
      <c r="H83" s="167">
        <v>24.9672</v>
      </c>
      <c r="I83" s="168"/>
      <c r="J83" s="71">
        <v>0.0575</v>
      </c>
      <c r="K83" s="71">
        <v>0.07</v>
      </c>
      <c r="L83" s="71">
        <v>0.038</v>
      </c>
      <c r="M83" s="71">
        <v>0.033</v>
      </c>
      <c r="N83" s="71">
        <v>0.03</v>
      </c>
      <c r="O83" s="71">
        <v>0.03</v>
      </c>
      <c r="P83" s="71">
        <f>U83+2%</f>
        <v>0.05</v>
      </c>
      <c r="Q83" s="71">
        <f>U83+1.6%</f>
        <v>0.046</v>
      </c>
      <c r="R83" s="71">
        <f>$U83+2.2%</f>
        <v>0.052000000000000005</v>
      </c>
      <c r="S83" s="71">
        <f>$U83+3.4%</f>
        <v>0.064</v>
      </c>
      <c r="T83" s="169">
        <v>58.24</v>
      </c>
      <c r="U83" s="71">
        <v>0.03</v>
      </c>
    </row>
    <row r="84" spans="1:21" ht="12.75">
      <c r="A84" s="85" t="s">
        <v>1022</v>
      </c>
      <c r="B84" s="86" t="s">
        <v>1451</v>
      </c>
      <c r="C84" s="109" t="str">
        <f t="shared" si="1"/>
        <v>10 lat/a od dnia zakupu</v>
      </c>
      <c r="D84" s="109">
        <v>40725</v>
      </c>
      <c r="E84" s="109">
        <v>40755</v>
      </c>
      <c r="F84" s="110">
        <v>100</v>
      </c>
      <c r="G84" s="166"/>
      <c r="H84" s="167">
        <v>36.2028</v>
      </c>
      <c r="I84" s="168"/>
      <c r="J84" s="71">
        <v>0.0575</v>
      </c>
      <c r="K84" s="71">
        <v>0.066</v>
      </c>
      <c r="L84" s="71">
        <v>0.034999999999999996</v>
      </c>
      <c r="M84" s="71">
        <v>0.032</v>
      </c>
      <c r="N84" s="71">
        <v>0.03</v>
      </c>
      <c r="O84" s="71">
        <v>0.03</v>
      </c>
      <c r="P84" s="71">
        <f>U84+1.9%</f>
        <v>0.049</v>
      </c>
      <c r="Q84" s="71">
        <f>U84+1.7%</f>
        <v>0.047</v>
      </c>
      <c r="R84" s="71">
        <f>$U84+2.4%</f>
        <v>0.054</v>
      </c>
      <c r="S84" s="71">
        <f>$U84+2.9%</f>
        <v>0.059</v>
      </c>
      <c r="T84" s="169">
        <v>56.6</v>
      </c>
      <c r="U84" s="71">
        <v>0.03</v>
      </c>
    </row>
    <row r="85" spans="1:21" ht="12.75">
      <c r="A85" s="85" t="s">
        <v>1023</v>
      </c>
      <c r="B85" s="86" t="s">
        <v>1882</v>
      </c>
      <c r="C85" s="109" t="str">
        <f t="shared" si="1"/>
        <v>10 lat/a od dnia zakupu</v>
      </c>
      <c r="D85" s="109">
        <v>40756</v>
      </c>
      <c r="E85" s="109">
        <v>40786</v>
      </c>
      <c r="F85" s="110">
        <v>100</v>
      </c>
      <c r="G85" s="166"/>
      <c r="H85" s="167">
        <v>36.8358</v>
      </c>
      <c r="I85" s="168"/>
      <c r="J85" s="71">
        <v>0.0575</v>
      </c>
      <c r="K85" s="71">
        <v>0.073</v>
      </c>
      <c r="L85" s="71">
        <v>0.032</v>
      </c>
      <c r="M85" s="71">
        <v>0.033</v>
      </c>
      <c r="N85" s="71">
        <v>0.03</v>
      </c>
      <c r="O85" s="71">
        <v>0.03</v>
      </c>
      <c r="P85" s="71">
        <f>U85+1.5%</f>
        <v>0.045</v>
      </c>
      <c r="Q85" s="71">
        <f>U85+2%</f>
        <v>0.05</v>
      </c>
      <c r="R85" s="71">
        <f>$U85+2.6%</f>
        <v>0.056</v>
      </c>
      <c r="S85" s="71">
        <f>$U85+3.3%</f>
        <v>0.063</v>
      </c>
      <c r="T85" s="169">
        <v>58.07</v>
      </c>
      <c r="U85" s="71">
        <v>0.03</v>
      </c>
    </row>
    <row r="86" spans="1:21" ht="12.75">
      <c r="A86" s="85" t="s">
        <v>1024</v>
      </c>
      <c r="B86" s="86" t="s">
        <v>1059</v>
      </c>
      <c r="C86" s="109" t="str">
        <f t="shared" si="1"/>
        <v>10 lat/a od dnia zakupu</v>
      </c>
      <c r="D86" s="109">
        <v>40787</v>
      </c>
      <c r="E86" s="109">
        <v>40816</v>
      </c>
      <c r="F86" s="110">
        <v>100</v>
      </c>
      <c r="G86" s="166"/>
      <c r="H86" s="167">
        <v>30.8529</v>
      </c>
      <c r="I86" s="168"/>
      <c r="J86" s="71">
        <v>0.0575</v>
      </c>
      <c r="K86" s="71">
        <v>0.07</v>
      </c>
      <c r="L86" s="71">
        <v>0.041</v>
      </c>
      <c r="M86" s="71">
        <v>0.03</v>
      </c>
      <c r="N86" s="71">
        <v>0.03</v>
      </c>
      <c r="O86" s="71">
        <v>0.03</v>
      </c>
      <c r="P86" s="71">
        <f>U86+1.7%</f>
        <v>0.047</v>
      </c>
      <c r="Q86" s="71">
        <f>U86+2%</f>
        <v>0.05</v>
      </c>
      <c r="R86" s="71">
        <f>$U86+2.9%</f>
        <v>0.059</v>
      </c>
      <c r="S86" s="71">
        <f>$U86+3%</f>
        <v>0.06</v>
      </c>
      <c r="T86" s="169">
        <v>58.84</v>
      </c>
      <c r="U86" s="71">
        <v>0.03</v>
      </c>
    </row>
    <row r="87" spans="1:21" ht="12.75">
      <c r="A87" s="85" t="s">
        <v>1025</v>
      </c>
      <c r="B87" s="86" t="s">
        <v>1064</v>
      </c>
      <c r="C87" s="109" t="str">
        <f t="shared" si="1"/>
        <v>10 lat/a od dnia zakupu</v>
      </c>
      <c r="D87" s="109">
        <v>40817</v>
      </c>
      <c r="E87" s="109">
        <v>40847</v>
      </c>
      <c r="F87" s="110">
        <v>100</v>
      </c>
      <c r="G87" s="166"/>
      <c r="H87" s="167">
        <v>22.2295</v>
      </c>
      <c r="I87" s="168"/>
      <c r="J87" s="71">
        <v>0.0575</v>
      </c>
      <c r="K87" s="71">
        <v>0.068</v>
      </c>
      <c r="L87" s="71">
        <v>0.041</v>
      </c>
      <c r="M87" s="71">
        <v>0.03</v>
      </c>
      <c r="N87" s="71">
        <v>0.03</v>
      </c>
      <c r="O87" s="71">
        <v>0.03</v>
      </c>
      <c r="P87" s="71">
        <f>U87+1.8%</f>
        <v>0.048</v>
      </c>
      <c r="Q87" s="71">
        <f>U87+2%</f>
        <v>0.05</v>
      </c>
      <c r="R87" s="71">
        <f>$U87+2.9%</f>
        <v>0.059</v>
      </c>
      <c r="S87" s="71">
        <f>$U87+2.9%</f>
        <v>0.059</v>
      </c>
      <c r="T87" s="169">
        <v>58.55</v>
      </c>
      <c r="U87" s="71">
        <v>0.03</v>
      </c>
    </row>
    <row r="88" spans="1:21" ht="12.75">
      <c r="A88" s="85" t="s">
        <v>1069</v>
      </c>
      <c r="B88" s="86" t="s">
        <v>1070</v>
      </c>
      <c r="C88" s="109" t="str">
        <f t="shared" si="1"/>
        <v>10 lat/a od dnia zakupu</v>
      </c>
      <c r="D88" s="109">
        <v>40848</v>
      </c>
      <c r="E88" s="109">
        <v>40877</v>
      </c>
      <c r="F88" s="110">
        <v>100</v>
      </c>
      <c r="G88" s="166"/>
      <c r="H88" s="167">
        <v>45.6125</v>
      </c>
      <c r="I88" s="168"/>
      <c r="J88" s="71">
        <v>0.0575</v>
      </c>
      <c r="K88" s="71">
        <v>0.068</v>
      </c>
      <c r="L88" s="71">
        <v>0.04</v>
      </c>
      <c r="M88" s="71">
        <v>0.03</v>
      </c>
      <c r="N88" s="71">
        <v>0.03</v>
      </c>
      <c r="O88" s="71">
        <v>0.03</v>
      </c>
      <c r="P88" s="71">
        <f>U88+2.2%</f>
        <v>0.052000000000000005</v>
      </c>
      <c r="Q88" s="71">
        <f>$U88+1.9%</f>
        <v>0.049</v>
      </c>
      <c r="R88" s="71">
        <f>$U88+2.6%</f>
        <v>0.056</v>
      </c>
      <c r="S88" s="71">
        <f>$U88+3.2%</f>
        <v>0.062</v>
      </c>
      <c r="T88" s="169">
        <v>58.85</v>
      </c>
      <c r="U88" s="71">
        <v>0.03</v>
      </c>
    </row>
    <row r="89" spans="1:21" ht="12.75">
      <c r="A89" s="90" t="s">
        <v>1077</v>
      </c>
      <c r="B89" s="91" t="s">
        <v>1078</v>
      </c>
      <c r="C89" s="111" t="str">
        <f t="shared" si="1"/>
        <v>10 lat/a od dnia zakupu</v>
      </c>
      <c r="D89" s="111">
        <v>40878</v>
      </c>
      <c r="E89" s="111">
        <v>40908</v>
      </c>
      <c r="F89" s="112">
        <v>100</v>
      </c>
      <c r="G89" s="170"/>
      <c r="H89" s="171">
        <v>38.6076</v>
      </c>
      <c r="I89" s="172"/>
      <c r="J89" s="67">
        <v>0.0575</v>
      </c>
      <c r="K89" s="67">
        <v>0.064</v>
      </c>
      <c r="L89" s="67">
        <v>0.038</v>
      </c>
      <c r="M89" s="67">
        <v>0.03</v>
      </c>
      <c r="N89" s="67">
        <v>0.03</v>
      </c>
      <c r="O89" s="67">
        <v>0.03</v>
      </c>
      <c r="P89" s="67">
        <f>U89+2.1%</f>
        <v>0.051000000000000004</v>
      </c>
      <c r="Q89" s="67">
        <f>$U89+1.8%</f>
        <v>0.048</v>
      </c>
      <c r="R89" s="67">
        <f>$U89+2.5%</f>
        <v>0.055</v>
      </c>
      <c r="S89" s="67">
        <f>$U89+3.1%</f>
        <v>0.061</v>
      </c>
      <c r="T89" s="173">
        <v>57.35</v>
      </c>
      <c r="U89" s="67">
        <v>0.03</v>
      </c>
    </row>
    <row r="90" spans="1:21" ht="12.75">
      <c r="A90" s="85" t="s">
        <v>1084</v>
      </c>
      <c r="B90" s="86" t="s">
        <v>1083</v>
      </c>
      <c r="C90" s="109" t="str">
        <f t="shared" si="1"/>
        <v>10 lat/a od dnia zakupu</v>
      </c>
      <c r="D90" s="109">
        <v>40909</v>
      </c>
      <c r="E90" s="109">
        <v>40939</v>
      </c>
      <c r="F90" s="110">
        <v>100</v>
      </c>
      <c r="G90" s="166"/>
      <c r="H90" s="167">
        <v>43.9797</v>
      </c>
      <c r="I90" s="168"/>
      <c r="J90" s="72">
        <v>0.0575</v>
      </c>
      <c r="K90" s="72">
        <v>0.057999999999999996</v>
      </c>
      <c r="L90" s="72">
        <v>0.036</v>
      </c>
      <c r="M90" s="72">
        <v>0.03</v>
      </c>
      <c r="N90" s="72">
        <v>0.03</v>
      </c>
      <c r="O90" s="72">
        <v>0.03</v>
      </c>
      <c r="P90" s="72">
        <f>U90+2.5%</f>
        <v>0.055</v>
      </c>
      <c r="Q90" s="72">
        <f>$U90+1.3%</f>
        <v>0.043</v>
      </c>
      <c r="R90" s="72">
        <f>$U90+2.6%</f>
        <v>0.056</v>
      </c>
      <c r="S90" s="72">
        <f>$U90+3%</f>
        <v>0.06</v>
      </c>
      <c r="T90" s="174">
        <v>56.01</v>
      </c>
      <c r="U90" s="72">
        <v>0.03</v>
      </c>
    </row>
    <row r="91" spans="1:21" ht="12.75">
      <c r="A91" s="85" t="s">
        <v>1090</v>
      </c>
      <c r="B91" s="86" t="s">
        <v>1091</v>
      </c>
      <c r="C91" s="109" t="str">
        <f t="shared" si="1"/>
        <v>10 lat/a od dnia zakupu</v>
      </c>
      <c r="D91" s="109">
        <v>40940</v>
      </c>
      <c r="E91" s="109">
        <v>40967</v>
      </c>
      <c r="F91" s="110">
        <v>100</v>
      </c>
      <c r="G91" s="166"/>
      <c r="H91" s="167">
        <v>92.0075</v>
      </c>
      <c r="I91" s="168"/>
      <c r="J91" s="71">
        <v>0.06</v>
      </c>
      <c r="K91" s="71">
        <v>0.054</v>
      </c>
      <c r="L91" s="71">
        <v>0.037</v>
      </c>
      <c r="M91" s="71">
        <v>0.03</v>
      </c>
      <c r="N91" s="71">
        <v>0.03</v>
      </c>
      <c r="O91" s="71">
        <v>0.038</v>
      </c>
      <c r="P91" s="71">
        <f>U91+2.1%</f>
        <v>0.051000000000000004</v>
      </c>
      <c r="Q91" s="71">
        <f>$U91+1.1%</f>
        <v>0.041</v>
      </c>
      <c r="R91" s="71">
        <f>$U91+3.4%</f>
        <v>0.064</v>
      </c>
      <c r="S91" s="71">
        <f>$U91+2.4%</f>
        <v>0.054</v>
      </c>
      <c r="T91" s="169">
        <v>56.54</v>
      </c>
      <c r="U91" s="71">
        <v>0.03</v>
      </c>
    </row>
    <row r="92" spans="1:21" ht="12.75">
      <c r="A92" s="85" t="s">
        <v>1095</v>
      </c>
      <c r="B92" s="86" t="s">
        <v>1098</v>
      </c>
      <c r="C92" s="109" t="str">
        <f t="shared" si="1"/>
        <v>10 lat/a od dnia zakupu</v>
      </c>
      <c r="D92" s="109">
        <v>40969</v>
      </c>
      <c r="E92" s="109">
        <v>40999</v>
      </c>
      <c r="F92" s="110">
        <v>100</v>
      </c>
      <c r="G92" s="166"/>
      <c r="H92" s="167">
        <v>81.8035</v>
      </c>
      <c r="I92" s="168"/>
      <c r="J92" s="71">
        <v>0.065</v>
      </c>
      <c r="K92" s="71">
        <v>0.0445</v>
      </c>
      <c r="L92" s="71">
        <v>0.0345</v>
      </c>
      <c r="M92" s="71">
        <v>0.0275</v>
      </c>
      <c r="N92" s="71">
        <v>0.0275</v>
      </c>
      <c r="O92" s="71">
        <v>0.0455</v>
      </c>
      <c r="P92" s="71">
        <f>U92+1.9%</f>
        <v>0.0465</v>
      </c>
      <c r="Q92" s="71">
        <f>$U92+0.9%</f>
        <v>0.036500000000000005</v>
      </c>
      <c r="R92" s="71">
        <f>$U92+4.4%</f>
        <v>0.07150000000000001</v>
      </c>
      <c r="S92" s="71">
        <f>$U92+2.7%</f>
        <v>0.05450000000000001</v>
      </c>
      <c r="T92" s="169">
        <v>55.68</v>
      </c>
      <c r="U92" s="71">
        <v>0.0275</v>
      </c>
    </row>
    <row r="93" spans="1:21" ht="12.75">
      <c r="A93" s="85" t="s">
        <v>1103</v>
      </c>
      <c r="B93" s="86" t="s">
        <v>1109</v>
      </c>
      <c r="C93" s="109" t="str">
        <f t="shared" si="1"/>
        <v>10 lat/a od dnia zakupu</v>
      </c>
      <c r="D93" s="109">
        <v>41000</v>
      </c>
      <c r="E93" s="109">
        <v>41029</v>
      </c>
      <c r="F93" s="110">
        <v>100</v>
      </c>
      <c r="G93" s="166"/>
      <c r="H93" s="167">
        <v>71.0703</v>
      </c>
      <c r="I93" s="168"/>
      <c r="J93" s="71">
        <v>0.065</v>
      </c>
      <c r="K93" s="71">
        <v>0.0405</v>
      </c>
      <c r="L93" s="71">
        <v>0.0345</v>
      </c>
      <c r="M93" s="71">
        <v>0.0275</v>
      </c>
      <c r="N93" s="71">
        <v>0.0275</v>
      </c>
      <c r="O93" s="71">
        <v>0.0495</v>
      </c>
      <c r="P93" s="71">
        <f>U93+1.4%</f>
        <v>0.041499999999999995</v>
      </c>
      <c r="Q93" s="71">
        <f>$U93+1.2%</f>
        <v>0.0395</v>
      </c>
      <c r="R93" s="71">
        <f>$U93+4.7%</f>
        <v>0.0745</v>
      </c>
      <c r="S93" s="71">
        <f>$U93+2.4%</f>
        <v>0.051500000000000004</v>
      </c>
      <c r="T93" s="169">
        <v>55.37</v>
      </c>
      <c r="U93" s="71">
        <v>0.0275</v>
      </c>
    </row>
    <row r="94" spans="1:21" ht="12.75">
      <c r="A94" s="85" t="s">
        <v>1107</v>
      </c>
      <c r="B94" s="86" t="s">
        <v>1112</v>
      </c>
      <c r="C94" s="109" t="str">
        <f t="shared" si="1"/>
        <v>10 lat/a od dnia zakupu</v>
      </c>
      <c r="D94" s="109">
        <v>41030</v>
      </c>
      <c r="E94" s="109">
        <v>41060</v>
      </c>
      <c r="F94" s="110">
        <v>100</v>
      </c>
      <c r="G94" s="166"/>
      <c r="H94" s="167">
        <v>82.4896</v>
      </c>
      <c r="I94" s="168"/>
      <c r="J94" s="71">
        <v>0.065</v>
      </c>
      <c r="K94" s="71">
        <v>0.0375</v>
      </c>
      <c r="L94" s="71">
        <v>0.0345</v>
      </c>
      <c r="M94" s="71">
        <v>0.0275</v>
      </c>
      <c r="N94" s="71">
        <v>0.0275</v>
      </c>
      <c r="O94" s="71">
        <f>U94+2%</f>
        <v>0.0475</v>
      </c>
      <c r="P94" s="71">
        <f>U94+1.3%</f>
        <v>0.0405</v>
      </c>
      <c r="Q94" s="71">
        <f>$U94+1.7%</f>
        <v>0.0445</v>
      </c>
      <c r="R94" s="71">
        <f>$U94+4.6%</f>
        <v>0.0735</v>
      </c>
      <c r="S94" s="71">
        <f>$U94+3.2%</f>
        <v>0.0595</v>
      </c>
      <c r="T94" s="169">
        <v>56.26</v>
      </c>
      <c r="U94" s="71">
        <v>0.0275</v>
      </c>
    </row>
    <row r="95" spans="1:21" ht="12.75">
      <c r="A95" s="85" t="s">
        <v>1119</v>
      </c>
      <c r="B95" s="86" t="s">
        <v>1120</v>
      </c>
      <c r="C95" s="109" t="str">
        <f t="shared" si="1"/>
        <v>10 lat/a od dnia zakupu</v>
      </c>
      <c r="D95" s="109">
        <v>41061</v>
      </c>
      <c r="E95" s="109">
        <v>41090</v>
      </c>
      <c r="F95" s="110">
        <v>100</v>
      </c>
      <c r="G95" s="166">
        <v>99.9</v>
      </c>
      <c r="H95" s="167">
        <v>159.6749</v>
      </c>
      <c r="I95" s="167">
        <v>10.001799999999998</v>
      </c>
      <c r="J95" s="71">
        <v>0.065</v>
      </c>
      <c r="K95" s="71">
        <v>0.035500000000000004</v>
      </c>
      <c r="L95" s="71">
        <v>0.0305</v>
      </c>
      <c r="M95" s="71">
        <v>0.0275</v>
      </c>
      <c r="N95" s="71">
        <v>0.0275</v>
      </c>
      <c r="O95" s="71">
        <f>U95+2%</f>
        <v>0.0475</v>
      </c>
      <c r="P95" s="71">
        <f>U95+1.6%</f>
        <v>0.0435</v>
      </c>
      <c r="Q95" s="71">
        <f>$U95+2.2%</f>
        <v>0.0495</v>
      </c>
      <c r="R95" s="71">
        <f>$U95+3.4%</f>
        <v>0.0615</v>
      </c>
      <c r="S95" s="71">
        <f>$U95+4.3%</f>
        <v>0.0705</v>
      </c>
      <c r="T95" s="169">
        <v>56.4</v>
      </c>
      <c r="U95" s="71">
        <v>0.0275</v>
      </c>
    </row>
    <row r="96" spans="1:21" ht="12.75">
      <c r="A96" s="85" t="s">
        <v>1126</v>
      </c>
      <c r="B96" s="86" t="s">
        <v>1127</v>
      </c>
      <c r="C96" s="109" t="str">
        <f t="shared" si="1"/>
        <v>10 lat/a od dnia zakupu</v>
      </c>
      <c r="D96" s="109">
        <v>41091</v>
      </c>
      <c r="E96" s="109">
        <v>41121</v>
      </c>
      <c r="F96" s="110">
        <v>100</v>
      </c>
      <c r="G96" s="166">
        <v>99.9</v>
      </c>
      <c r="H96" s="167">
        <v>44.3502</v>
      </c>
      <c r="I96" s="167">
        <v>9.3588</v>
      </c>
      <c r="J96" s="71">
        <v>0.06</v>
      </c>
      <c r="K96" s="71">
        <v>0.030000000000000002</v>
      </c>
      <c r="L96" s="71">
        <v>0.027000000000000003</v>
      </c>
      <c r="M96" s="71">
        <v>0.025</v>
      </c>
      <c r="N96" s="71">
        <v>0.025</v>
      </c>
      <c r="O96" s="71">
        <f>U96+1.9%</f>
        <v>0.044</v>
      </c>
      <c r="P96" s="71">
        <f>U96+1.7%</f>
        <v>0.042</v>
      </c>
      <c r="Q96" s="71">
        <f>$U96+2.4%</f>
        <v>0.049</v>
      </c>
      <c r="R96" s="71">
        <f>$U96+2.9%</f>
        <v>0.054</v>
      </c>
      <c r="S96" s="71">
        <f>$U96+4.7%</f>
        <v>0.07200000000000001</v>
      </c>
      <c r="T96" s="169">
        <v>51.89</v>
      </c>
      <c r="U96" s="71">
        <v>0.025</v>
      </c>
    </row>
    <row r="97" spans="1:21" ht="12.75">
      <c r="A97" s="85" t="s">
        <v>1135</v>
      </c>
      <c r="B97" s="86" t="s">
        <v>1136</v>
      </c>
      <c r="C97" s="109" t="str">
        <f t="shared" si="1"/>
        <v>10 lat/a od dnia zakupu</v>
      </c>
      <c r="D97" s="109">
        <v>41122</v>
      </c>
      <c r="E97" s="109">
        <v>41152</v>
      </c>
      <c r="F97" s="110">
        <v>100</v>
      </c>
      <c r="G97" s="166">
        <v>99.9</v>
      </c>
      <c r="H97" s="167">
        <v>45.5857</v>
      </c>
      <c r="I97" s="168">
        <v>12.292</v>
      </c>
      <c r="J97" s="71">
        <v>0.06</v>
      </c>
      <c r="K97" s="71">
        <v>0.027000000000000003</v>
      </c>
      <c r="L97" s="71">
        <v>0.028</v>
      </c>
      <c r="M97" s="71">
        <v>0.025</v>
      </c>
      <c r="N97" s="71">
        <v>0.025</v>
      </c>
      <c r="O97" s="71">
        <f>U97+1.5%</f>
        <v>0.04</v>
      </c>
      <c r="P97" s="71">
        <f>U97+2%</f>
        <v>0.045</v>
      </c>
      <c r="Q97" s="71">
        <f>$U97+2.6%</f>
        <v>0.051000000000000004</v>
      </c>
      <c r="R97" s="71">
        <f>$U97+3.3%</f>
        <v>0.058</v>
      </c>
      <c r="S97" s="71">
        <f>$U97+4.4%</f>
        <v>0.069</v>
      </c>
      <c r="T97" s="169">
        <v>51.89</v>
      </c>
      <c r="U97" s="71">
        <v>0.025</v>
      </c>
    </row>
    <row r="98" spans="1:21" ht="12.75">
      <c r="A98" s="85" t="s">
        <v>1143</v>
      </c>
      <c r="B98" s="86" t="s">
        <v>1144</v>
      </c>
      <c r="C98" s="109" t="str">
        <f t="shared" si="1"/>
        <v>10 lat/a od dnia zakupu</v>
      </c>
      <c r="D98" s="109">
        <v>41153</v>
      </c>
      <c r="E98" s="109">
        <v>40939</v>
      </c>
      <c r="F98" s="110">
        <v>100</v>
      </c>
      <c r="G98" s="166">
        <v>99.9</v>
      </c>
      <c r="H98" s="167">
        <v>48.2869</v>
      </c>
      <c r="I98" s="168">
        <v>7.7789</v>
      </c>
      <c r="J98" s="71">
        <v>0.06</v>
      </c>
      <c r="K98" s="71">
        <v>0.036000000000000004</v>
      </c>
      <c r="L98" s="71">
        <v>0.025</v>
      </c>
      <c r="M98" s="71">
        <v>0.025</v>
      </c>
      <c r="N98" s="71">
        <v>0.025</v>
      </c>
      <c r="O98" s="71">
        <f>U98+1.7%</f>
        <v>0.042</v>
      </c>
      <c r="P98" s="71">
        <f>U98+2%</f>
        <v>0.045</v>
      </c>
      <c r="Q98" s="71">
        <f>$U98+2.9%</f>
        <v>0.054</v>
      </c>
      <c r="R98" s="71">
        <f>$U98+3%</f>
        <v>0.055</v>
      </c>
      <c r="S98" s="71">
        <f>$U98+5%</f>
        <v>0.07500000000000001</v>
      </c>
      <c r="T98" s="169">
        <f>(ROUND(100*(1+J98)*(1+K98)*(1+L98)*(1+M98)*(1+N98)*(1+O98)*(1+P98)*(1+Q98)*(1+R98)*(1+S98),2))-100</f>
        <v>53.93000000000001</v>
      </c>
      <c r="U98" s="71">
        <v>0.025</v>
      </c>
    </row>
    <row r="99" spans="1:21" ht="12.75">
      <c r="A99" s="85" t="s">
        <v>1151</v>
      </c>
      <c r="B99" s="86" t="s">
        <v>1152</v>
      </c>
      <c r="C99" s="109" t="str">
        <f t="shared" si="1"/>
        <v>10 lat/a od dnia zakupu</v>
      </c>
      <c r="D99" s="109">
        <v>41183</v>
      </c>
      <c r="E99" s="109">
        <v>40939</v>
      </c>
      <c r="F99" s="110">
        <v>100</v>
      </c>
      <c r="G99" s="166">
        <v>99.9</v>
      </c>
      <c r="H99" s="167">
        <v>57.2096</v>
      </c>
      <c r="I99" s="168">
        <v>20.3475</v>
      </c>
      <c r="J99" s="71">
        <v>0.058</v>
      </c>
      <c r="K99" s="71">
        <v>0.036000000000000004</v>
      </c>
      <c r="L99" s="71">
        <v>0.025</v>
      </c>
      <c r="M99" s="71">
        <v>0.025</v>
      </c>
      <c r="N99" s="71">
        <v>0.025</v>
      </c>
      <c r="O99" s="71">
        <f>U99+1.8%</f>
        <v>0.043000000000000003</v>
      </c>
      <c r="P99" s="71">
        <f>U99+2%</f>
        <v>0.045</v>
      </c>
      <c r="Q99" s="71">
        <f>$U99+2.9%</f>
        <v>0.054</v>
      </c>
      <c r="R99" s="71">
        <f>$U99+2.9%</f>
        <v>0.054</v>
      </c>
      <c r="S99" s="71">
        <f>$U99+5.5%</f>
        <v>0.08</v>
      </c>
      <c r="T99" s="169">
        <v>54.36</v>
      </c>
      <c r="U99" s="71">
        <v>0.025</v>
      </c>
    </row>
    <row r="100" spans="1:21" ht="12.75">
      <c r="A100" s="85" t="s">
        <v>1158</v>
      </c>
      <c r="B100" s="86" t="s">
        <v>1159</v>
      </c>
      <c r="C100" s="109" t="str">
        <f t="shared" si="1"/>
        <v>10 lat/a od dnia zakupu</v>
      </c>
      <c r="D100" s="109">
        <v>41214</v>
      </c>
      <c r="E100" s="109">
        <v>41243</v>
      </c>
      <c r="F100" s="110">
        <v>100</v>
      </c>
      <c r="G100" s="166">
        <v>99.9</v>
      </c>
      <c r="H100" s="167">
        <v>41.4976</v>
      </c>
      <c r="I100" s="168">
        <v>9.9446</v>
      </c>
      <c r="J100" s="71">
        <v>0.058</v>
      </c>
      <c r="K100" s="71">
        <v>0.03</v>
      </c>
      <c r="L100" s="71">
        <v>0.02</v>
      </c>
      <c r="M100" s="71">
        <v>0.02</v>
      </c>
      <c r="N100" s="71">
        <v>0.02</v>
      </c>
      <c r="O100" s="71">
        <f>U100+2.2%</f>
        <v>0.042</v>
      </c>
      <c r="P100" s="71">
        <f>$U100+1.9%</f>
        <v>0.039</v>
      </c>
      <c r="Q100" s="71">
        <f>$U100+2.6%</f>
        <v>0.046</v>
      </c>
      <c r="R100" s="71">
        <f>$U100+3.2%</f>
        <v>0.052000000000000005</v>
      </c>
      <c r="S100" s="71">
        <f>$U100+5.9%</f>
        <v>0.079</v>
      </c>
      <c r="T100" s="169">
        <v>48.65</v>
      </c>
      <c r="U100" s="71">
        <v>0.02</v>
      </c>
    </row>
    <row r="101" spans="1:21" ht="12.75">
      <c r="A101" s="90" t="s">
        <v>1166</v>
      </c>
      <c r="B101" s="91" t="s">
        <v>1167</v>
      </c>
      <c r="C101" s="111" t="str">
        <f t="shared" si="1"/>
        <v>10 lat/a od dnia zakupu</v>
      </c>
      <c r="D101" s="111">
        <v>41244</v>
      </c>
      <c r="E101" s="111">
        <v>41274</v>
      </c>
      <c r="F101" s="112">
        <v>100</v>
      </c>
      <c r="G101" s="170">
        <v>99.9</v>
      </c>
      <c r="H101" s="171">
        <v>35.9056</v>
      </c>
      <c r="I101" s="172">
        <v>6.3505</v>
      </c>
      <c r="J101" s="67">
        <v>0.055</v>
      </c>
      <c r="K101" s="67">
        <v>0.028</v>
      </c>
      <c r="L101" s="67">
        <v>0.02</v>
      </c>
      <c r="M101" s="67">
        <v>0.02</v>
      </c>
      <c r="N101" s="67">
        <v>0.02</v>
      </c>
      <c r="O101" s="67">
        <f>U101+2.1%</f>
        <v>0.041</v>
      </c>
      <c r="P101" s="67">
        <f>$U101+1.8%</f>
        <v>0.038000000000000006</v>
      </c>
      <c r="Q101" s="67">
        <f>$U101+2.5%</f>
        <v>0.045</v>
      </c>
      <c r="R101" s="67">
        <f>$U101+3.1%</f>
        <v>0.051000000000000004</v>
      </c>
      <c r="S101" s="71">
        <f>$U101+6.8%</f>
        <v>0.08800000000000001</v>
      </c>
      <c r="T101" s="173">
        <v>48.61</v>
      </c>
      <c r="U101" s="67">
        <v>0.02</v>
      </c>
    </row>
    <row r="102" spans="1:21" ht="12.75">
      <c r="A102" s="85" t="s">
        <v>1208</v>
      </c>
      <c r="B102" s="86" t="s">
        <v>1207</v>
      </c>
      <c r="C102" s="87" t="str">
        <f aca="true" t="shared" si="2" ref="C102:C130">"10"&amp;WykupCOI</f>
        <v>10 lat/a od dnia zakupu</v>
      </c>
      <c r="D102" s="87">
        <v>41275</v>
      </c>
      <c r="E102" s="87">
        <v>41305</v>
      </c>
      <c r="F102" s="88">
        <v>100</v>
      </c>
      <c r="G102" s="166">
        <v>99.9</v>
      </c>
      <c r="H102" s="178">
        <v>54.9239</v>
      </c>
      <c r="I102" s="168">
        <v>3.0141</v>
      </c>
      <c r="J102" s="179">
        <v>0.05</v>
      </c>
      <c r="K102" s="179">
        <v>0.0235</v>
      </c>
      <c r="L102" s="179">
        <v>0.0175</v>
      </c>
      <c r="M102" s="179">
        <v>0.0175</v>
      </c>
      <c r="N102" s="179">
        <v>0.0175</v>
      </c>
      <c r="O102" s="179">
        <f>U102+2.5%</f>
        <v>0.0425</v>
      </c>
      <c r="P102" s="179">
        <f>$U102+1.3%</f>
        <v>0.030500000000000003</v>
      </c>
      <c r="Q102" s="179">
        <f>$U102+2.6%</f>
        <v>0.043500000000000004</v>
      </c>
      <c r="R102" s="179">
        <f>$U102+3%</f>
        <v>0.0475</v>
      </c>
      <c r="S102" s="179">
        <f>$U102+7.8%</f>
        <v>0.0955</v>
      </c>
      <c r="T102" s="180">
        <v>45.63</v>
      </c>
      <c r="U102" s="179">
        <v>0.0175</v>
      </c>
    </row>
    <row r="103" spans="1:21" ht="12.75">
      <c r="A103" s="85" t="s">
        <v>1209</v>
      </c>
      <c r="B103" s="86" t="s">
        <v>1223</v>
      </c>
      <c r="C103" s="87" t="str">
        <f t="shared" si="2"/>
        <v>10 lat/a od dnia zakupu</v>
      </c>
      <c r="D103" s="87">
        <v>41306</v>
      </c>
      <c r="E103" s="87">
        <v>41333</v>
      </c>
      <c r="F103" s="88">
        <v>100</v>
      </c>
      <c r="G103" s="166">
        <v>99.9</v>
      </c>
      <c r="H103" s="178">
        <v>29.1874</v>
      </c>
      <c r="I103" s="168">
        <v>2.5606</v>
      </c>
      <c r="J103" s="181">
        <v>0.05</v>
      </c>
      <c r="K103" s="181">
        <v>0.022</v>
      </c>
      <c r="L103" s="181">
        <v>0.015</v>
      </c>
      <c r="M103" s="181">
        <v>0.015</v>
      </c>
      <c r="N103" s="181">
        <v>0.023</v>
      </c>
      <c r="O103" s="181">
        <f>U103+2.1%</f>
        <v>0.036000000000000004</v>
      </c>
      <c r="P103" s="181">
        <f>$U103+1.1%</f>
        <v>0.026000000000000002</v>
      </c>
      <c r="Q103" s="181">
        <f>$U103+3.4%</f>
        <v>0.049</v>
      </c>
      <c r="R103" s="181">
        <f>$U103+2.4%</f>
        <v>0.039</v>
      </c>
      <c r="S103" s="181">
        <f>$U103+8.6%</f>
        <v>0.10099999999999999</v>
      </c>
      <c r="T103" s="182">
        <v>44.26</v>
      </c>
      <c r="U103" s="181">
        <v>0.015</v>
      </c>
    </row>
    <row r="104" spans="1:21" ht="12.75">
      <c r="A104" s="85" t="s">
        <v>1210</v>
      </c>
      <c r="B104" s="86" t="s">
        <v>1227</v>
      </c>
      <c r="C104" s="87" t="str">
        <f t="shared" si="2"/>
        <v>10 lat/a od dnia zakupu</v>
      </c>
      <c r="D104" s="87">
        <v>41334</v>
      </c>
      <c r="E104" s="87">
        <v>41364</v>
      </c>
      <c r="F104" s="88">
        <v>100</v>
      </c>
      <c r="G104" s="166">
        <v>99.9</v>
      </c>
      <c r="H104" s="178">
        <v>32.9222</v>
      </c>
      <c r="I104" s="168">
        <v>4.6615</v>
      </c>
      <c r="J104" s="181">
        <v>0.05</v>
      </c>
      <c r="K104" s="181">
        <v>0.022</v>
      </c>
      <c r="L104" s="181">
        <v>0.015</v>
      </c>
      <c r="M104" s="181">
        <v>0.015</v>
      </c>
      <c r="N104" s="181">
        <v>0.033</v>
      </c>
      <c r="O104" s="181">
        <f>U104+1.9%</f>
        <v>0.034</v>
      </c>
      <c r="P104" s="181">
        <f>$U104+0.9%</f>
        <v>0.024</v>
      </c>
      <c r="Q104" s="181">
        <f>$U104+4.4%</f>
        <v>0.059000000000000004</v>
      </c>
      <c r="R104" s="181">
        <f>$U104+2.7%</f>
        <v>0.042</v>
      </c>
      <c r="S104" s="181">
        <f>$U104+9.2%</f>
        <v>0.107</v>
      </c>
      <c r="T104" s="182">
        <v>47.71</v>
      </c>
      <c r="U104" s="181">
        <v>0.015</v>
      </c>
    </row>
    <row r="105" spans="1:21" ht="12.75">
      <c r="A105" s="85" t="s">
        <v>1211</v>
      </c>
      <c r="B105" s="86" t="s">
        <v>1231</v>
      </c>
      <c r="C105" s="87" t="str">
        <f t="shared" si="2"/>
        <v>10 lat/a od dnia zakupu</v>
      </c>
      <c r="D105" s="87">
        <v>41365</v>
      </c>
      <c r="E105" s="87">
        <v>41394</v>
      </c>
      <c r="F105" s="88">
        <v>100</v>
      </c>
      <c r="G105" s="166">
        <v>99.9</v>
      </c>
      <c r="H105" s="178">
        <v>40.4777</v>
      </c>
      <c r="I105" s="168">
        <v>5.0794</v>
      </c>
      <c r="J105" s="181">
        <v>0.05</v>
      </c>
      <c r="K105" s="181">
        <v>0.022</v>
      </c>
      <c r="L105" s="181">
        <v>0.015</v>
      </c>
      <c r="M105" s="181">
        <v>0.015</v>
      </c>
      <c r="N105" s="181">
        <v>0.037000000000000005</v>
      </c>
      <c r="O105" s="181">
        <f>U105+1.4%</f>
        <v>0.028999999999999998</v>
      </c>
      <c r="P105" s="181">
        <f>$U105+1.2%</f>
        <v>0.027</v>
      </c>
      <c r="Q105" s="181">
        <f>$U105+4.7%</f>
        <v>0.062</v>
      </c>
      <c r="R105" s="181">
        <f>$U105+2.4%</f>
        <v>0.039</v>
      </c>
      <c r="S105" s="181">
        <f>$U105+8.5%</f>
        <v>0.1</v>
      </c>
      <c r="T105" s="182">
        <v>47.05</v>
      </c>
      <c r="U105" s="181">
        <v>0.015</v>
      </c>
    </row>
    <row r="106" spans="1:21" ht="12.75">
      <c r="A106" s="85" t="s">
        <v>1212</v>
      </c>
      <c r="B106" s="86" t="s">
        <v>1235</v>
      </c>
      <c r="C106" s="87" t="str">
        <f t="shared" si="2"/>
        <v>10 lat/a od dnia zakupu</v>
      </c>
      <c r="D106" s="87">
        <v>41395</v>
      </c>
      <c r="E106" s="87">
        <v>41425</v>
      </c>
      <c r="F106" s="88">
        <v>100</v>
      </c>
      <c r="G106" s="166">
        <v>99.9</v>
      </c>
      <c r="H106" s="178">
        <v>17.8016</v>
      </c>
      <c r="I106" s="168">
        <v>4.4857</v>
      </c>
      <c r="J106" s="181">
        <v>0.04</v>
      </c>
      <c r="K106" s="181">
        <v>0.022</v>
      </c>
      <c r="L106" s="181">
        <v>0.015</v>
      </c>
      <c r="M106" s="181">
        <v>0.015</v>
      </c>
      <c r="N106" s="181">
        <f>U106+2%</f>
        <v>0.035</v>
      </c>
      <c r="O106" s="181">
        <f>U106+1.3%</f>
        <v>0.028</v>
      </c>
      <c r="P106" s="181">
        <f>$U106+1.7%</f>
        <v>0.032</v>
      </c>
      <c r="Q106" s="181">
        <f>$U106+4.6%</f>
        <v>0.061</v>
      </c>
      <c r="R106" s="181">
        <f>$U106+3.2%</f>
        <v>0.047</v>
      </c>
      <c r="S106" s="181">
        <f>$U106+11%</f>
        <v>0.125</v>
      </c>
      <c r="T106" s="182">
        <v>50.26</v>
      </c>
      <c r="U106" s="181">
        <v>0.015</v>
      </c>
    </row>
    <row r="107" spans="1:21" ht="12.75">
      <c r="A107" s="85" t="s">
        <v>1213</v>
      </c>
      <c r="B107" s="86" t="s">
        <v>1239</v>
      </c>
      <c r="C107" s="87" t="str">
        <f t="shared" si="2"/>
        <v>10 lat/a od dnia zakupu</v>
      </c>
      <c r="D107" s="87">
        <v>41426</v>
      </c>
      <c r="E107" s="87">
        <v>41455</v>
      </c>
      <c r="F107" s="88">
        <v>100</v>
      </c>
      <c r="G107" s="166">
        <v>99.9</v>
      </c>
      <c r="H107" s="178">
        <v>19.398</v>
      </c>
      <c r="I107" s="168">
        <v>4.223</v>
      </c>
      <c r="J107" s="181">
        <v>0.04</v>
      </c>
      <c r="K107" s="181">
        <v>0.018</v>
      </c>
      <c r="L107" s="181">
        <v>0.015</v>
      </c>
      <c r="M107" s="181">
        <v>0.015</v>
      </c>
      <c r="N107" s="181">
        <f>U107+2%</f>
        <v>0.035</v>
      </c>
      <c r="O107" s="181">
        <f>U107+1.6%</f>
        <v>0.031</v>
      </c>
      <c r="P107" s="181">
        <f>$U107+2.2%</f>
        <v>0.037000000000000005</v>
      </c>
      <c r="Q107" s="181">
        <f>$U107+3.4%</f>
        <v>0.049</v>
      </c>
      <c r="R107" s="181">
        <f>$U107+4.3%</f>
        <v>0.057999999999999996</v>
      </c>
      <c r="S107" s="181">
        <f>$U107+12.4%</f>
        <v>0.139</v>
      </c>
      <c r="T107" s="182">
        <v>52.57</v>
      </c>
      <c r="U107" s="181">
        <v>0.015</v>
      </c>
    </row>
    <row r="108" spans="1:21" ht="12.75">
      <c r="A108" s="85" t="s">
        <v>1214</v>
      </c>
      <c r="B108" s="86" t="s">
        <v>1241</v>
      </c>
      <c r="C108" s="87" t="str">
        <f t="shared" si="2"/>
        <v>10 lat/a od dnia zakupu</v>
      </c>
      <c r="D108" s="87">
        <v>41456</v>
      </c>
      <c r="E108" s="87">
        <v>41486</v>
      </c>
      <c r="F108" s="88">
        <v>100</v>
      </c>
      <c r="G108" s="166">
        <v>99.9</v>
      </c>
      <c r="H108" s="178">
        <v>25.7359</v>
      </c>
      <c r="I108" s="168">
        <v>1.2295</v>
      </c>
      <c r="J108" s="181">
        <v>0.04</v>
      </c>
      <c r="K108" s="181">
        <v>0.017</v>
      </c>
      <c r="L108" s="181">
        <v>0.015</v>
      </c>
      <c r="M108" s="181">
        <v>0.015</v>
      </c>
      <c r="N108" s="181">
        <f>U108+1.9%</f>
        <v>0.034</v>
      </c>
      <c r="O108" s="181">
        <f>U108+1.7%</f>
        <v>0.032</v>
      </c>
      <c r="P108" s="181">
        <f>$U108+2.4%</f>
        <v>0.039</v>
      </c>
      <c r="Q108" s="181">
        <f>$U108+2.9%</f>
        <v>0.044</v>
      </c>
      <c r="R108" s="181">
        <f>$U108+4.7%</f>
        <v>0.062</v>
      </c>
      <c r="S108" s="181">
        <f>$U108+13.9%</f>
        <v>0.15400000000000003</v>
      </c>
      <c r="T108" s="182">
        <v>54.57</v>
      </c>
      <c r="U108" s="181">
        <v>0.015</v>
      </c>
    </row>
    <row r="109" spans="1:21" ht="12.75">
      <c r="A109" s="85" t="s">
        <v>1215</v>
      </c>
      <c r="B109" s="86" t="s">
        <v>1250</v>
      </c>
      <c r="C109" s="87" t="str">
        <f t="shared" si="2"/>
        <v>10 lat/a od dnia zakupu</v>
      </c>
      <c r="D109" s="87">
        <v>41487</v>
      </c>
      <c r="E109" s="87">
        <v>41517</v>
      </c>
      <c r="F109" s="88">
        <v>100</v>
      </c>
      <c r="G109" s="166">
        <v>99.9</v>
      </c>
      <c r="H109" s="178">
        <v>14.9958</v>
      </c>
      <c r="I109" s="168">
        <v>0.6778</v>
      </c>
      <c r="J109" s="181">
        <v>0.04</v>
      </c>
      <c r="K109" s="181">
        <v>0.018</v>
      </c>
      <c r="L109" s="181">
        <v>0.015</v>
      </c>
      <c r="M109" s="181">
        <v>0.015</v>
      </c>
      <c r="N109" s="181">
        <f>U109+1.5%</f>
        <v>0.03</v>
      </c>
      <c r="O109" s="181">
        <f>U109+2%</f>
        <v>0.035</v>
      </c>
      <c r="P109" s="181">
        <f>$U109+2.6%</f>
        <v>0.041</v>
      </c>
      <c r="Q109" s="181">
        <f>$U109+3.3%</f>
        <v>0.048</v>
      </c>
      <c r="R109" s="181">
        <f>$U109+4.4%</f>
        <v>0.059000000000000004</v>
      </c>
      <c r="S109" s="181">
        <f>$U109+15.5%</f>
        <v>0.16999999999999998</v>
      </c>
      <c r="T109" s="182">
        <v>57.18</v>
      </c>
      <c r="U109" s="181">
        <v>0.015</v>
      </c>
    </row>
    <row r="110" spans="1:21" ht="12.75">
      <c r="A110" s="85" t="s">
        <v>1216</v>
      </c>
      <c r="B110" s="86" t="s">
        <v>1257</v>
      </c>
      <c r="C110" s="87" t="str">
        <f t="shared" si="2"/>
        <v>10 lat/a od dnia zakupu</v>
      </c>
      <c r="D110" s="87">
        <v>41518</v>
      </c>
      <c r="E110" s="87">
        <v>41547</v>
      </c>
      <c r="F110" s="88">
        <v>100</v>
      </c>
      <c r="G110" s="166">
        <v>99.9</v>
      </c>
      <c r="H110" s="178">
        <v>12.8488</v>
      </c>
      <c r="I110" s="168">
        <v>1.2665</v>
      </c>
      <c r="J110" s="181">
        <v>0.04</v>
      </c>
      <c r="K110" s="181">
        <v>0.015</v>
      </c>
      <c r="L110" s="181">
        <v>0.015</v>
      </c>
      <c r="M110" s="181">
        <v>0.015</v>
      </c>
      <c r="N110" s="181">
        <f>U110+1.7%</f>
        <v>0.032</v>
      </c>
      <c r="O110" s="181">
        <f>U110+2%</f>
        <v>0.035</v>
      </c>
      <c r="P110" s="181">
        <f>$U110+2.9%</f>
        <v>0.044</v>
      </c>
      <c r="Q110" s="181">
        <f>$U110+3%</f>
        <v>0.045</v>
      </c>
      <c r="R110" s="181">
        <f>$U110+5%</f>
        <v>0.065</v>
      </c>
      <c r="S110" s="181">
        <f>$U110+15.6%</f>
        <v>0.17099999999999999</v>
      </c>
      <c r="T110" s="182">
        <v>58.04</v>
      </c>
      <c r="U110" s="181">
        <v>0.015</v>
      </c>
    </row>
    <row r="111" spans="1:21" ht="12.75">
      <c r="A111" s="85" t="s">
        <v>1217</v>
      </c>
      <c r="B111" s="86" t="s">
        <v>1261</v>
      </c>
      <c r="C111" s="87" t="str">
        <f t="shared" si="2"/>
        <v>10 lat/a od dnia zakupu</v>
      </c>
      <c r="D111" s="87">
        <v>41548</v>
      </c>
      <c r="E111" s="87">
        <v>41578</v>
      </c>
      <c r="F111" s="88">
        <v>100</v>
      </c>
      <c r="G111" s="166">
        <v>99.9</v>
      </c>
      <c r="H111" s="178">
        <v>18.4412</v>
      </c>
      <c r="I111" s="168">
        <v>1.0035</v>
      </c>
      <c r="J111" s="181">
        <v>0.04</v>
      </c>
      <c r="K111" s="181">
        <v>0.015</v>
      </c>
      <c r="L111" s="181">
        <v>0.015</v>
      </c>
      <c r="M111" s="181">
        <v>0.015</v>
      </c>
      <c r="N111" s="181">
        <f>U111+1.8%</f>
        <v>0.033</v>
      </c>
      <c r="O111" s="181">
        <f>U111+2%</f>
        <v>0.035</v>
      </c>
      <c r="P111" s="181">
        <f>$U111+2.9%</f>
        <v>0.044</v>
      </c>
      <c r="Q111" s="181">
        <f>$U111+2.9%</f>
        <v>0.044</v>
      </c>
      <c r="R111" s="181">
        <f>$U111+5.5%</f>
        <v>0.07</v>
      </c>
      <c r="S111" s="181">
        <f>$U111+16.1%</f>
        <v>0.176</v>
      </c>
      <c r="T111" s="182">
        <v>59.46</v>
      </c>
      <c r="U111" s="181">
        <v>0.015</v>
      </c>
    </row>
    <row r="112" spans="1:21" ht="12.75">
      <c r="A112" s="85" t="s">
        <v>1218</v>
      </c>
      <c r="B112" s="86" t="s">
        <v>1268</v>
      </c>
      <c r="C112" s="87" t="str">
        <f t="shared" si="2"/>
        <v>10 lat/a od dnia zakupu</v>
      </c>
      <c r="D112" s="87">
        <v>41579</v>
      </c>
      <c r="E112" s="87">
        <v>41608</v>
      </c>
      <c r="F112" s="88">
        <v>100</v>
      </c>
      <c r="G112" s="166">
        <v>99.9</v>
      </c>
      <c r="H112" s="178">
        <v>14.547</v>
      </c>
      <c r="I112" s="168">
        <v>0.9662</v>
      </c>
      <c r="J112" s="181">
        <v>0.04</v>
      </c>
      <c r="K112" s="181">
        <v>0.015</v>
      </c>
      <c r="L112" s="181">
        <v>0.015</v>
      </c>
      <c r="M112" s="181">
        <v>0.015</v>
      </c>
      <c r="N112" s="181">
        <f>U112+2.2%</f>
        <v>0.037000000000000005</v>
      </c>
      <c r="O112" s="181">
        <f>$U112+1.9%</f>
        <v>0.034</v>
      </c>
      <c r="P112" s="181">
        <f>$U112+2.6%</f>
        <v>0.041</v>
      </c>
      <c r="Q112" s="181">
        <f>$U112+3.2%</f>
        <v>0.047</v>
      </c>
      <c r="R112" s="181">
        <f>$U112+5.9%</f>
        <v>0.07400000000000001</v>
      </c>
      <c r="S112" s="181">
        <f>$U112+17.2%</f>
        <v>0.187</v>
      </c>
      <c r="T112" s="182">
        <v>62.03</v>
      </c>
      <c r="U112" s="181">
        <v>0.015</v>
      </c>
    </row>
    <row r="113" spans="1:21" ht="12.75">
      <c r="A113" s="90" t="s">
        <v>1219</v>
      </c>
      <c r="B113" s="91" t="s">
        <v>1269</v>
      </c>
      <c r="C113" s="92" t="str">
        <f t="shared" si="2"/>
        <v>10 lat/a od dnia zakupu</v>
      </c>
      <c r="D113" s="92">
        <v>41609</v>
      </c>
      <c r="E113" s="92">
        <v>41639</v>
      </c>
      <c r="F113" s="93">
        <v>100</v>
      </c>
      <c r="G113" s="170">
        <v>99.9</v>
      </c>
      <c r="H113" s="183">
        <v>20.9174</v>
      </c>
      <c r="I113" s="172">
        <v>1.595</v>
      </c>
      <c r="J113" s="184">
        <v>0.04</v>
      </c>
      <c r="K113" s="184">
        <v>0.015</v>
      </c>
      <c r="L113" s="184">
        <v>0.015</v>
      </c>
      <c r="M113" s="184">
        <v>0.015</v>
      </c>
      <c r="N113" s="184">
        <f>U113+2.1%</f>
        <v>0.036000000000000004</v>
      </c>
      <c r="O113" s="184">
        <f>$U113+1.8%</f>
        <v>0.033</v>
      </c>
      <c r="P113" s="184">
        <f>$U113+2.5%</f>
        <v>0.04</v>
      </c>
      <c r="Q113" s="184">
        <f>$U113+3.1%</f>
        <v>0.046</v>
      </c>
      <c r="R113" s="181">
        <f>$U113+6.8%</f>
        <v>0.083</v>
      </c>
      <c r="S113" s="181">
        <f>$U113+17.9%</f>
        <v>0.194</v>
      </c>
      <c r="T113" s="185">
        <v>63.72</v>
      </c>
      <c r="U113" s="184">
        <v>0.015</v>
      </c>
    </row>
    <row r="114" spans="1:21" ht="12.75">
      <c r="A114" s="85" t="s">
        <v>1278</v>
      </c>
      <c r="B114" s="86" t="s">
        <v>1280</v>
      </c>
      <c r="C114" s="87" t="str">
        <f t="shared" si="2"/>
        <v>10 lat/a od dnia zakupu</v>
      </c>
      <c r="D114" s="87">
        <v>41640</v>
      </c>
      <c r="E114" s="87">
        <v>41670</v>
      </c>
      <c r="F114" s="88">
        <v>100</v>
      </c>
      <c r="G114" s="166">
        <v>99.9</v>
      </c>
      <c r="H114" s="178">
        <v>35.1091</v>
      </c>
      <c r="I114" s="168">
        <v>1.7827</v>
      </c>
      <c r="J114" s="179">
        <v>0.04</v>
      </c>
      <c r="K114" s="179">
        <v>0.015</v>
      </c>
      <c r="L114" s="179">
        <v>0.015</v>
      </c>
      <c r="M114" s="179">
        <v>0.015</v>
      </c>
      <c r="N114" s="179">
        <f>U114+2.5%</f>
        <v>0.04</v>
      </c>
      <c r="O114" s="179">
        <f>$U114+1.3%</f>
        <v>0.028</v>
      </c>
      <c r="P114" s="179">
        <f>$U114+2.6%</f>
        <v>0.041</v>
      </c>
      <c r="Q114" s="179">
        <f>$U114+3%</f>
        <v>0.045</v>
      </c>
      <c r="R114" s="179">
        <f>$U114+7.8%</f>
        <v>0.093</v>
      </c>
      <c r="S114" s="179">
        <f>$U114+17.5%</f>
        <v>0.19</v>
      </c>
      <c r="T114" s="180">
        <v>64.51</v>
      </c>
      <c r="U114" s="179">
        <v>0.015</v>
      </c>
    </row>
    <row r="115" spans="1:21" ht="12.75">
      <c r="A115" s="85" t="s">
        <v>1279</v>
      </c>
      <c r="B115" s="86" t="s">
        <v>1281</v>
      </c>
      <c r="C115" s="87" t="str">
        <f t="shared" si="2"/>
        <v>10 lat/a od dnia zakupu</v>
      </c>
      <c r="D115" s="87">
        <v>41671</v>
      </c>
      <c r="E115" s="87">
        <v>41698</v>
      </c>
      <c r="F115" s="88">
        <v>100</v>
      </c>
      <c r="G115" s="166">
        <v>99.9</v>
      </c>
      <c r="H115" s="178">
        <v>26.5801</v>
      </c>
      <c r="I115" s="168">
        <v>2.286</v>
      </c>
      <c r="J115" s="181">
        <v>0.04</v>
      </c>
      <c r="K115" s="181">
        <v>0.015</v>
      </c>
      <c r="L115" s="181">
        <v>0.015</v>
      </c>
      <c r="M115" s="181">
        <v>0.023</v>
      </c>
      <c r="N115" s="181">
        <f>U115+2.1%</f>
        <v>0.036000000000000004</v>
      </c>
      <c r="O115" s="181">
        <f>$U115+1.1%</f>
        <v>0.026000000000000002</v>
      </c>
      <c r="P115" s="181">
        <f>$U115+3.4%</f>
        <v>0.049</v>
      </c>
      <c r="Q115" s="181">
        <f>$U115+2.4%</f>
        <v>0.039</v>
      </c>
      <c r="R115" s="181">
        <f>$U115+8.6%</f>
        <v>0.10099999999999999</v>
      </c>
      <c r="S115" s="181">
        <f>$U115+16.6%</f>
        <v>0.181</v>
      </c>
      <c r="T115" s="182">
        <v>65.11</v>
      </c>
      <c r="U115" s="181">
        <v>0.015</v>
      </c>
    </row>
    <row r="116" spans="1:21" ht="12.75">
      <c r="A116" s="85" t="s">
        <v>1292</v>
      </c>
      <c r="B116" s="86" t="s">
        <v>1298</v>
      </c>
      <c r="C116" s="87" t="str">
        <f t="shared" si="2"/>
        <v>10 lat/a od dnia zakupu</v>
      </c>
      <c r="D116" s="87">
        <v>41699</v>
      </c>
      <c r="E116" s="87">
        <v>41729</v>
      </c>
      <c r="F116" s="88">
        <v>100</v>
      </c>
      <c r="G116" s="166">
        <v>99.9</v>
      </c>
      <c r="H116" s="178">
        <v>16.0511</v>
      </c>
      <c r="I116" s="168">
        <v>1.0558</v>
      </c>
      <c r="J116" s="181">
        <v>0.04</v>
      </c>
      <c r="K116" s="181">
        <v>0.015</v>
      </c>
      <c r="L116" s="181">
        <v>0.015</v>
      </c>
      <c r="M116" s="181">
        <v>0.033</v>
      </c>
      <c r="N116" s="181">
        <f>U116+1.9%</f>
        <v>0.034</v>
      </c>
      <c r="O116" s="181">
        <f>$U116+0.9%</f>
        <v>0.024</v>
      </c>
      <c r="P116" s="181">
        <f>$U116+4.4%</f>
        <v>0.059000000000000004</v>
      </c>
      <c r="Q116" s="181">
        <f>$U116+2.7%</f>
        <v>0.042</v>
      </c>
      <c r="R116" s="181">
        <f>$U116+9.2%</f>
        <v>0.107</v>
      </c>
      <c r="S116" s="181">
        <f>$U116+17.2%</f>
        <v>0.187</v>
      </c>
      <c r="T116" s="182">
        <v>69.92</v>
      </c>
      <c r="U116" s="181">
        <v>0.015</v>
      </c>
    </row>
    <row r="117" spans="1:21" ht="12.75">
      <c r="A117" s="85" t="s">
        <v>1294</v>
      </c>
      <c r="B117" s="86" t="s">
        <v>1299</v>
      </c>
      <c r="C117" s="87" t="str">
        <f t="shared" si="2"/>
        <v>10 lat/a od dnia zakupu</v>
      </c>
      <c r="D117" s="87">
        <v>41730</v>
      </c>
      <c r="E117" s="87">
        <v>41759</v>
      </c>
      <c r="F117" s="88">
        <v>100</v>
      </c>
      <c r="G117" s="166">
        <v>99.9</v>
      </c>
      <c r="H117" s="178">
        <v>16.474</v>
      </c>
      <c r="I117" s="168">
        <v>0.4448</v>
      </c>
      <c r="J117" s="181">
        <v>0.04</v>
      </c>
      <c r="K117" s="181">
        <v>0.015</v>
      </c>
      <c r="L117" s="181">
        <v>0.015</v>
      </c>
      <c r="M117" s="181">
        <v>0.037000000000000005</v>
      </c>
      <c r="N117" s="181">
        <f>U117+1.4%</f>
        <v>0.028999999999999998</v>
      </c>
      <c r="O117" s="181">
        <f>$U117+1.2%</f>
        <v>0.027</v>
      </c>
      <c r="P117" s="181">
        <f>$U117+4.7%</f>
        <v>0.062</v>
      </c>
      <c r="Q117" s="181">
        <f>$U117+2.4%</f>
        <v>0.039</v>
      </c>
      <c r="R117" s="181">
        <f>$U117+8.5%</f>
        <v>0.1</v>
      </c>
      <c r="S117" s="181">
        <f>$U117+18.4%</f>
        <v>0.199</v>
      </c>
      <c r="T117" s="182">
        <v>70.88</v>
      </c>
      <c r="U117" s="181">
        <v>0.015</v>
      </c>
    </row>
    <row r="118" spans="1:21" ht="12.75">
      <c r="A118" s="85" t="s">
        <v>1315</v>
      </c>
      <c r="B118" s="86" t="s">
        <v>1313</v>
      </c>
      <c r="C118" s="87" t="str">
        <f t="shared" si="2"/>
        <v>10 lat/a od dnia zakupu</v>
      </c>
      <c r="D118" s="87">
        <v>41760</v>
      </c>
      <c r="E118" s="87">
        <v>41790</v>
      </c>
      <c r="F118" s="88">
        <v>100</v>
      </c>
      <c r="G118" s="166">
        <v>99.9</v>
      </c>
      <c r="H118" s="178">
        <v>22.2684</v>
      </c>
      <c r="I118" s="168">
        <v>0.4529</v>
      </c>
      <c r="J118" s="181">
        <v>0.04</v>
      </c>
      <c r="K118" s="181">
        <v>0.015</v>
      </c>
      <c r="L118" s="181">
        <v>0.015</v>
      </c>
      <c r="M118" s="181">
        <f>U118+2%</f>
        <v>0.035</v>
      </c>
      <c r="N118" s="181">
        <f>U118+1.3%</f>
        <v>0.028</v>
      </c>
      <c r="O118" s="181">
        <f>$U118+1.7%</f>
        <v>0.032</v>
      </c>
      <c r="P118" s="181">
        <f>$U118+4.6%</f>
        <v>0.061</v>
      </c>
      <c r="Q118" s="181">
        <f>$U118+3.2%</f>
        <v>0.047</v>
      </c>
      <c r="R118" s="181">
        <f>$U118+11%</f>
        <v>0.125</v>
      </c>
      <c r="S118" s="181">
        <f>$U118+16.1%</f>
        <v>0.176</v>
      </c>
      <c r="T118" s="182">
        <v>72.9</v>
      </c>
      <c r="U118" s="181">
        <v>0.015</v>
      </c>
    </row>
    <row r="119" spans="1:21" ht="12.75">
      <c r="A119" s="85" t="s">
        <v>1316</v>
      </c>
      <c r="B119" s="86" t="s">
        <v>1317</v>
      </c>
      <c r="C119" s="87" t="str">
        <f t="shared" si="2"/>
        <v>10 lat/a od dnia zakupu</v>
      </c>
      <c r="D119" s="87">
        <v>41791</v>
      </c>
      <c r="E119" s="87">
        <v>41820</v>
      </c>
      <c r="F119" s="88">
        <v>100</v>
      </c>
      <c r="G119" s="166">
        <v>99.9</v>
      </c>
      <c r="H119" s="178">
        <v>12.1348</v>
      </c>
      <c r="I119" s="168">
        <v>0.5558</v>
      </c>
      <c r="J119" s="181">
        <v>0.04</v>
      </c>
      <c r="K119" s="181">
        <v>0.015</v>
      </c>
      <c r="L119" s="181">
        <v>0.015</v>
      </c>
      <c r="M119" s="181">
        <f>U119+2%</f>
        <v>0.035</v>
      </c>
      <c r="N119" s="181">
        <f>U119+1.6%</f>
        <v>0.031</v>
      </c>
      <c r="O119" s="181">
        <f>$U119+2.2%</f>
        <v>0.037000000000000005</v>
      </c>
      <c r="P119" s="181">
        <f>$U119+3.4%</f>
        <v>0.049</v>
      </c>
      <c r="Q119" s="181">
        <f>$U119+4.3%</f>
        <v>0.057999999999999996</v>
      </c>
      <c r="R119" s="181">
        <f>$U119+12.4%</f>
        <v>0.139</v>
      </c>
      <c r="S119" s="181">
        <f>$U119+14.7%</f>
        <v>0.16199999999999998</v>
      </c>
      <c r="T119" s="182">
        <v>74.15</v>
      </c>
      <c r="U119" s="181">
        <v>0.015</v>
      </c>
    </row>
    <row r="120" spans="1:21" s="31" customFormat="1" ht="12.75">
      <c r="A120" s="85" t="s">
        <v>1330</v>
      </c>
      <c r="B120" s="86" t="s">
        <v>1331</v>
      </c>
      <c r="C120" s="87" t="str">
        <f t="shared" si="2"/>
        <v>10 lat/a od dnia zakupu</v>
      </c>
      <c r="D120" s="87">
        <v>41821</v>
      </c>
      <c r="E120" s="87">
        <v>41851</v>
      </c>
      <c r="F120" s="88">
        <v>100</v>
      </c>
      <c r="G120" s="166">
        <v>99.9</v>
      </c>
      <c r="H120" s="178">
        <v>12.4692</v>
      </c>
      <c r="I120" s="168">
        <v>0.3075</v>
      </c>
      <c r="J120" s="181">
        <v>0.04</v>
      </c>
      <c r="K120" s="181">
        <v>0.015</v>
      </c>
      <c r="L120" s="181">
        <v>0.015</v>
      </c>
      <c r="M120" s="181">
        <f>U120+1.9%</f>
        <v>0.034</v>
      </c>
      <c r="N120" s="181">
        <f>U120+1.7%</f>
        <v>0.032</v>
      </c>
      <c r="O120" s="181">
        <f>$U120+2.4%</f>
        <v>0.039</v>
      </c>
      <c r="P120" s="181">
        <f>$U120+2.9%</f>
        <v>0.044</v>
      </c>
      <c r="Q120" s="181">
        <f>$U120+4.7%</f>
        <v>0.062</v>
      </c>
      <c r="R120" s="181">
        <f>$U120+13.9%</f>
        <v>0.15400000000000003</v>
      </c>
      <c r="S120" s="181">
        <f>$U120+13%</f>
        <v>0.14500000000000002</v>
      </c>
      <c r="T120" s="182">
        <v>74.03</v>
      </c>
      <c r="U120" s="181">
        <v>0.015</v>
      </c>
    </row>
    <row r="121" spans="1:21" s="31" customFormat="1" ht="12.75">
      <c r="A121" s="85" t="s">
        <v>1338</v>
      </c>
      <c r="B121" s="86" t="s">
        <v>1339</v>
      </c>
      <c r="C121" s="87" t="str">
        <f t="shared" si="2"/>
        <v>10 lat/a od dnia zakupu</v>
      </c>
      <c r="D121" s="87">
        <v>41852</v>
      </c>
      <c r="E121" s="87">
        <v>41882</v>
      </c>
      <c r="F121" s="88">
        <v>100</v>
      </c>
      <c r="G121" s="166">
        <v>99.9</v>
      </c>
      <c r="H121" s="178">
        <v>16.1366</v>
      </c>
      <c r="I121" s="168">
        <v>1.1654</v>
      </c>
      <c r="J121" s="181">
        <v>0.04</v>
      </c>
      <c r="K121" s="181">
        <v>0.015</v>
      </c>
      <c r="L121" s="181">
        <v>0.015</v>
      </c>
      <c r="M121" s="181">
        <f>U121+1.5%</f>
        <v>0.03</v>
      </c>
      <c r="N121" s="181">
        <f>U121+2%</f>
        <v>0.035</v>
      </c>
      <c r="O121" s="181">
        <f>$U121+2.6%</f>
        <v>0.041</v>
      </c>
      <c r="P121" s="181">
        <f>$U121+3.3%</f>
        <v>0.048</v>
      </c>
      <c r="Q121" s="181">
        <f>$U121+4.4%</f>
        <v>0.059000000000000004</v>
      </c>
      <c r="R121" s="181">
        <f>$U121+15.5%</f>
        <v>0.16999999999999998</v>
      </c>
      <c r="S121" s="181">
        <f>$U121+11.5%</f>
        <v>0.13</v>
      </c>
      <c r="T121" s="182">
        <v>74.47</v>
      </c>
      <c r="U121" s="181">
        <v>0.015</v>
      </c>
    </row>
    <row r="122" spans="1:21" s="31" customFormat="1" ht="12.75">
      <c r="A122" s="85" t="s">
        <v>1346</v>
      </c>
      <c r="B122" s="86" t="s">
        <v>1347</v>
      </c>
      <c r="C122" s="87" t="str">
        <f t="shared" si="2"/>
        <v>10 lat/a od dnia zakupu</v>
      </c>
      <c r="D122" s="87">
        <v>41883</v>
      </c>
      <c r="E122" s="87">
        <v>41912</v>
      </c>
      <c r="F122" s="88">
        <v>100</v>
      </c>
      <c r="G122" s="166">
        <v>99.6</v>
      </c>
      <c r="H122" s="178">
        <v>9.3297</v>
      </c>
      <c r="I122" s="168">
        <v>0.9881</v>
      </c>
      <c r="J122" s="181">
        <v>0.036</v>
      </c>
      <c r="K122" s="181">
        <v>0.015</v>
      </c>
      <c r="L122" s="181">
        <v>0.015</v>
      </c>
      <c r="M122" s="181">
        <f>U122+1.7%</f>
        <v>0.032</v>
      </c>
      <c r="N122" s="181">
        <f>U122+2%</f>
        <v>0.035</v>
      </c>
      <c r="O122" s="181">
        <f>$U122+2.9%</f>
        <v>0.044</v>
      </c>
      <c r="P122" s="181">
        <f>$U122+3%</f>
        <v>0.045</v>
      </c>
      <c r="Q122" s="181">
        <f>$U122+5%</f>
        <v>0.065</v>
      </c>
      <c r="R122" s="181">
        <f>$U122+15.6%</f>
        <v>0.17099999999999999</v>
      </c>
      <c r="S122" s="181">
        <f>$U122+10.8%</f>
        <v>0.12300000000000001</v>
      </c>
      <c r="T122" s="182">
        <v>74.19</v>
      </c>
      <c r="U122" s="181">
        <v>0.015</v>
      </c>
    </row>
    <row r="123" spans="1:21" s="31" customFormat="1" ht="12.75">
      <c r="A123" s="85" t="s">
        <v>1354</v>
      </c>
      <c r="B123" s="86" t="s">
        <v>1355</v>
      </c>
      <c r="C123" s="87" t="str">
        <f t="shared" si="2"/>
        <v>10 lat/a od dnia zakupu</v>
      </c>
      <c r="D123" s="87">
        <v>41913</v>
      </c>
      <c r="E123" s="87">
        <v>41943</v>
      </c>
      <c r="F123" s="88">
        <v>100</v>
      </c>
      <c r="G123" s="166">
        <v>99.9</v>
      </c>
      <c r="H123" s="178">
        <v>17.8569</v>
      </c>
      <c r="I123" s="168">
        <v>3.8198</v>
      </c>
      <c r="J123" s="181">
        <v>0.033</v>
      </c>
      <c r="K123" s="181">
        <v>0.015</v>
      </c>
      <c r="L123" s="181">
        <v>0.015</v>
      </c>
      <c r="M123" s="181">
        <f>U123+1.8%</f>
        <v>0.033</v>
      </c>
      <c r="N123" s="181">
        <f>U123+2%</f>
        <v>0.035</v>
      </c>
      <c r="O123" s="181">
        <f>$U123+2.9%</f>
        <v>0.044</v>
      </c>
      <c r="P123" s="181">
        <f>$U123+2.9%</f>
        <v>0.044</v>
      </c>
      <c r="Q123" s="181">
        <f>$U123+5.5%</f>
        <v>0.07</v>
      </c>
      <c r="R123" s="181">
        <f>$U123+16.1%</f>
        <v>0.176</v>
      </c>
      <c r="S123" s="181">
        <f>$U123+10.1%</f>
        <v>0.11599999999999999</v>
      </c>
      <c r="T123" s="182">
        <v>74.15</v>
      </c>
      <c r="U123" s="181">
        <v>0.015</v>
      </c>
    </row>
    <row r="124" spans="1:21" ht="12.75">
      <c r="A124" s="85" t="s">
        <v>1367</v>
      </c>
      <c r="B124" s="86" t="s">
        <v>1369</v>
      </c>
      <c r="C124" s="87" t="str">
        <f t="shared" si="2"/>
        <v>10 lat/a od dnia zakupu</v>
      </c>
      <c r="D124" s="87">
        <v>41944</v>
      </c>
      <c r="E124" s="87">
        <v>41973</v>
      </c>
      <c r="F124" s="88">
        <v>100</v>
      </c>
      <c r="G124" s="166">
        <v>99.9</v>
      </c>
      <c r="H124" s="178">
        <v>16.8335</v>
      </c>
      <c r="I124" s="168">
        <v>6.6287</v>
      </c>
      <c r="J124" s="181">
        <v>0.03</v>
      </c>
      <c r="K124" s="181">
        <v>0.015</v>
      </c>
      <c r="L124" s="181">
        <v>0.015</v>
      </c>
      <c r="M124" s="181">
        <f>U124+2.2%</f>
        <v>0.037000000000000005</v>
      </c>
      <c r="N124" s="181">
        <f>$U124+1.9%</f>
        <v>0.034</v>
      </c>
      <c r="O124" s="181">
        <f>$U124+2.6%</f>
        <v>0.041</v>
      </c>
      <c r="P124" s="181">
        <f>$U124+3.2%</f>
        <v>0.047</v>
      </c>
      <c r="Q124" s="181">
        <f>$U124+5.9%</f>
        <v>0.07400000000000001</v>
      </c>
      <c r="R124" s="181">
        <f>$U124+17.2%</f>
        <v>0.187</v>
      </c>
      <c r="S124" s="181">
        <f>$U124+8.2%</f>
        <v>0.09699999999999999</v>
      </c>
      <c r="T124" s="182">
        <v>73.43</v>
      </c>
      <c r="U124" s="181">
        <v>0.015</v>
      </c>
    </row>
    <row r="125" spans="1:21" ht="12.75">
      <c r="A125" s="90" t="s">
        <v>1368</v>
      </c>
      <c r="B125" s="91" t="s">
        <v>1370</v>
      </c>
      <c r="C125" s="92" t="str">
        <f t="shared" si="2"/>
        <v>10 lat/a od dnia zakupu</v>
      </c>
      <c r="D125" s="92">
        <v>41974</v>
      </c>
      <c r="E125" s="92">
        <v>42004</v>
      </c>
      <c r="F125" s="93">
        <v>100</v>
      </c>
      <c r="G125" s="170">
        <v>99.9</v>
      </c>
      <c r="H125" s="183">
        <v>40.6632</v>
      </c>
      <c r="I125" s="172">
        <v>23.9711</v>
      </c>
      <c r="J125" s="184">
        <v>0.03</v>
      </c>
      <c r="K125" s="184">
        <v>0.015</v>
      </c>
      <c r="L125" s="184">
        <v>0.015</v>
      </c>
      <c r="M125" s="184">
        <f>U125+2.1%</f>
        <v>0.036000000000000004</v>
      </c>
      <c r="N125" s="184">
        <f>$U125+1.8%</f>
        <v>0.033</v>
      </c>
      <c r="O125" s="184">
        <f>$U125+2.5%</f>
        <v>0.04</v>
      </c>
      <c r="P125" s="184">
        <f>$U125+3.1%</f>
        <v>0.046</v>
      </c>
      <c r="Q125" s="181">
        <f>$U125+6.8%</f>
        <v>0.083</v>
      </c>
      <c r="R125" s="181">
        <f>$U125+17.9%</f>
        <v>0.194</v>
      </c>
      <c r="S125" s="184">
        <f>$U125+6.6%</f>
        <v>0.081</v>
      </c>
      <c r="T125" s="185">
        <v>72.68</v>
      </c>
      <c r="U125" s="184">
        <v>0.015</v>
      </c>
    </row>
    <row r="126" spans="1:21" ht="12.75">
      <c r="A126" s="85" t="s">
        <v>1377</v>
      </c>
      <c r="B126" s="86" t="s">
        <v>1378</v>
      </c>
      <c r="C126" s="87" t="str">
        <f t="shared" si="2"/>
        <v>10 lat/a od dnia zakupu</v>
      </c>
      <c r="D126" s="87">
        <v>42005</v>
      </c>
      <c r="E126" s="87">
        <v>42035</v>
      </c>
      <c r="F126" s="88">
        <v>100</v>
      </c>
      <c r="G126" s="166">
        <v>99.9</v>
      </c>
      <c r="H126" s="178">
        <v>34.8776</v>
      </c>
      <c r="I126" s="168">
        <v>8.0699</v>
      </c>
      <c r="J126" s="179">
        <v>0.03</v>
      </c>
      <c r="K126" s="179">
        <v>0.015</v>
      </c>
      <c r="L126" s="179">
        <v>0.015</v>
      </c>
      <c r="M126" s="179">
        <f>U126+2.5%</f>
        <v>0.04</v>
      </c>
      <c r="N126" s="179">
        <f>$U126+1.3%</f>
        <v>0.028</v>
      </c>
      <c r="O126" s="179">
        <f>$U126+2.6%</f>
        <v>0.041</v>
      </c>
      <c r="P126" s="179">
        <f>$U126+3%</f>
        <v>0.045</v>
      </c>
      <c r="Q126" s="179">
        <f>$U126+7.8%</f>
        <v>0.093</v>
      </c>
      <c r="R126" s="179">
        <f>$U126+17.5%</f>
        <v>0.19</v>
      </c>
      <c r="S126" s="179">
        <f>$U126+6.6%</f>
        <v>0.081</v>
      </c>
      <c r="T126" s="180">
        <v>73.52</v>
      </c>
      <c r="U126" s="179">
        <v>0.015</v>
      </c>
    </row>
    <row r="127" spans="1:21" ht="12.75">
      <c r="A127" s="85" t="s">
        <v>1385</v>
      </c>
      <c r="B127" s="86" t="s">
        <v>1881</v>
      </c>
      <c r="C127" s="87" t="str">
        <f t="shared" si="2"/>
        <v>10 lat/a od dnia zakupu</v>
      </c>
      <c r="D127" s="87">
        <v>42036</v>
      </c>
      <c r="E127" s="87">
        <v>42063</v>
      </c>
      <c r="F127" s="88">
        <v>100</v>
      </c>
      <c r="G127" s="166">
        <v>99.9</v>
      </c>
      <c r="H127" s="178">
        <v>33.4205</v>
      </c>
      <c r="I127" s="168">
        <v>9.8714</v>
      </c>
      <c r="J127" s="181">
        <v>0.03</v>
      </c>
      <c r="K127" s="181">
        <v>0.015</v>
      </c>
      <c r="L127" s="181">
        <v>0.023</v>
      </c>
      <c r="M127" s="181">
        <f>U127+2.1%</f>
        <v>0.036000000000000004</v>
      </c>
      <c r="N127" s="181">
        <f>$U127+1.1%</f>
        <v>0.026000000000000002</v>
      </c>
      <c r="O127" s="181">
        <f>$U127+3.4%</f>
        <v>0.049</v>
      </c>
      <c r="P127" s="181">
        <f>$U127+2.4%</f>
        <v>0.039</v>
      </c>
      <c r="Q127" s="181">
        <f>$U127+8.6%</f>
        <v>0.10099999999999999</v>
      </c>
      <c r="R127" s="181">
        <f>$U127+16.6%</f>
        <v>0.181</v>
      </c>
      <c r="S127" s="181">
        <f>$U127+6.2%</f>
        <v>0.077</v>
      </c>
      <c r="T127" s="182">
        <v>73.51</v>
      </c>
      <c r="U127" s="181">
        <v>0.015</v>
      </c>
    </row>
    <row r="128" spans="1:21" ht="12.75">
      <c r="A128" s="85" t="s">
        <v>1396</v>
      </c>
      <c r="B128" s="86" t="s">
        <v>1397</v>
      </c>
      <c r="C128" s="87" t="str">
        <f t="shared" si="2"/>
        <v>10 lat/a od dnia zakupu</v>
      </c>
      <c r="D128" s="87">
        <v>42064</v>
      </c>
      <c r="E128" s="87">
        <v>42094</v>
      </c>
      <c r="F128" s="88">
        <v>100</v>
      </c>
      <c r="G128" s="166">
        <v>99.9</v>
      </c>
      <c r="H128" s="178">
        <v>25.5735</v>
      </c>
      <c r="I128" s="168">
        <v>3.4271</v>
      </c>
      <c r="J128" s="181">
        <v>0.03</v>
      </c>
      <c r="K128" s="181">
        <v>0.015</v>
      </c>
      <c r="L128" s="181">
        <v>0.033</v>
      </c>
      <c r="M128" s="181">
        <f>U128+1.9%</f>
        <v>0.034</v>
      </c>
      <c r="N128" s="181">
        <f>$U128+0.9%</f>
        <v>0.024</v>
      </c>
      <c r="O128" s="181">
        <f>$U128+4.4%</f>
        <v>0.059000000000000004</v>
      </c>
      <c r="P128" s="181">
        <f>$U128+2.7%</f>
        <v>0.042</v>
      </c>
      <c r="Q128" s="181">
        <f>$U128+9.2%</f>
        <v>0.107</v>
      </c>
      <c r="R128" s="181">
        <f>$U128+17.2%</f>
        <v>0.187</v>
      </c>
      <c r="S128" s="181">
        <f>$U128+3.9%</f>
        <v>0.054</v>
      </c>
      <c r="T128" s="182">
        <v>74.75</v>
      </c>
      <c r="U128" s="181">
        <v>0.015</v>
      </c>
    </row>
    <row r="129" spans="1:21" s="31" customFormat="1" ht="12.75">
      <c r="A129" s="85" t="s">
        <v>1409</v>
      </c>
      <c r="B129" s="86" t="s">
        <v>1410</v>
      </c>
      <c r="C129" s="87" t="str">
        <f t="shared" si="2"/>
        <v>10 lat/a od dnia zakupu</v>
      </c>
      <c r="D129" s="87">
        <v>42095</v>
      </c>
      <c r="E129" s="87">
        <v>42124</v>
      </c>
      <c r="F129" s="88">
        <v>100</v>
      </c>
      <c r="G129" s="166">
        <v>99.9</v>
      </c>
      <c r="H129" s="178">
        <v>11.4681</v>
      </c>
      <c r="I129" s="168">
        <v>4.1885</v>
      </c>
      <c r="J129" s="181">
        <v>0.025</v>
      </c>
      <c r="K129" s="181">
        <v>0.015</v>
      </c>
      <c r="L129" s="181">
        <v>0.037000000000000005</v>
      </c>
      <c r="M129" s="181">
        <f>U129+1.4%</f>
        <v>0.028999999999999998</v>
      </c>
      <c r="N129" s="181">
        <f>$U129+1.2%</f>
        <v>0.027</v>
      </c>
      <c r="O129" s="181">
        <f>$U129+4.7%</f>
        <v>0.062</v>
      </c>
      <c r="P129" s="181">
        <f>$U129+2.4%</f>
        <v>0.039</v>
      </c>
      <c r="Q129" s="181">
        <f>$U129+8.5%</f>
        <v>0.1</v>
      </c>
      <c r="R129" s="181">
        <f>$U129+18.4%</f>
        <v>0.199</v>
      </c>
      <c r="S129" s="181">
        <f>$U129+2.8%</f>
        <v>0.043</v>
      </c>
      <c r="T129" s="182">
        <v>73.06</v>
      </c>
      <c r="U129" s="181">
        <v>0.015</v>
      </c>
    </row>
    <row r="130" spans="1:21" s="31" customFormat="1" ht="12.75">
      <c r="A130" s="85" t="s">
        <v>1417</v>
      </c>
      <c r="B130" s="86" t="s">
        <v>1418</v>
      </c>
      <c r="C130" s="87" t="str">
        <f t="shared" si="2"/>
        <v>10 lat/a od dnia zakupu</v>
      </c>
      <c r="D130" s="87">
        <v>42125</v>
      </c>
      <c r="E130" s="87">
        <v>42155</v>
      </c>
      <c r="F130" s="88">
        <v>100</v>
      </c>
      <c r="G130" s="166">
        <v>99.9</v>
      </c>
      <c r="H130" s="178">
        <v>14.368</v>
      </c>
      <c r="I130" s="168">
        <v>1.9805</v>
      </c>
      <c r="J130" s="181">
        <v>0.025</v>
      </c>
      <c r="K130" s="181">
        <v>0.015</v>
      </c>
      <c r="L130" s="181">
        <f>U130+2%</f>
        <v>0.035</v>
      </c>
      <c r="M130" s="181">
        <f>U130+1.3%</f>
        <v>0.028</v>
      </c>
      <c r="N130" s="181">
        <f>$U130+1.7%</f>
        <v>0.032</v>
      </c>
      <c r="O130" s="181">
        <f>$U130+4.6%</f>
        <v>0.061</v>
      </c>
      <c r="P130" s="181">
        <f>$U130+3.2%</f>
        <v>0.047</v>
      </c>
      <c r="Q130" s="181">
        <f>$U130+11%</f>
        <v>0.125</v>
      </c>
      <c r="R130" s="181">
        <f>$U130+16.1%</f>
        <v>0.176</v>
      </c>
      <c r="S130" s="181"/>
      <c r="T130" s="182"/>
      <c r="U130" s="181">
        <v>0.015</v>
      </c>
    </row>
    <row r="131" spans="1:21" ht="12.75">
      <c r="A131" s="85" t="s">
        <v>1425</v>
      </c>
      <c r="B131" s="86" t="s">
        <v>1426</v>
      </c>
      <c r="C131" s="87" t="str">
        <f aca="true" t="shared" si="3" ref="C131:C151">"10"&amp;WykupCOI</f>
        <v>10 lat/a od dnia zakupu</v>
      </c>
      <c r="D131" s="87">
        <v>42156</v>
      </c>
      <c r="E131" s="87">
        <v>42185</v>
      </c>
      <c r="F131" s="88">
        <v>100</v>
      </c>
      <c r="G131" s="166">
        <v>99.9</v>
      </c>
      <c r="H131" s="178">
        <v>10.4928</v>
      </c>
      <c r="I131" s="168">
        <v>2.6721</v>
      </c>
      <c r="J131" s="181">
        <v>0.025</v>
      </c>
      <c r="K131" s="181">
        <v>0.015</v>
      </c>
      <c r="L131" s="181">
        <f>U131+2%</f>
        <v>0.035</v>
      </c>
      <c r="M131" s="181">
        <f>U131+1.6%</f>
        <v>0.031</v>
      </c>
      <c r="N131" s="181">
        <f>$U131+2.2%</f>
        <v>0.037000000000000005</v>
      </c>
      <c r="O131" s="181">
        <f>$U131+3.4%</f>
        <v>0.049</v>
      </c>
      <c r="P131" s="181">
        <f>$U131+4.3%</f>
        <v>0.057999999999999996</v>
      </c>
      <c r="Q131" s="181">
        <f>$U131+12.4%</f>
        <v>0.139</v>
      </c>
      <c r="R131" s="181">
        <f>$U131+14.7%</f>
        <v>0.16199999999999998</v>
      </c>
      <c r="S131" s="181"/>
      <c r="T131" s="182"/>
      <c r="U131" s="181">
        <v>0.015</v>
      </c>
    </row>
    <row r="132" spans="1:21" s="31" customFormat="1" ht="12.75">
      <c r="A132" s="85" t="s">
        <v>1428</v>
      </c>
      <c r="B132" s="86" t="s">
        <v>1434</v>
      </c>
      <c r="C132" s="87" t="str">
        <f t="shared" si="3"/>
        <v>10 lat/a od dnia zakupu</v>
      </c>
      <c r="D132" s="87">
        <v>42186</v>
      </c>
      <c r="E132" s="87">
        <v>42216</v>
      </c>
      <c r="F132" s="88">
        <v>100</v>
      </c>
      <c r="G132" s="166">
        <v>99.9</v>
      </c>
      <c r="H132" s="178">
        <v>12.1479</v>
      </c>
      <c r="I132" s="168">
        <v>1.641</v>
      </c>
      <c r="J132" s="181">
        <v>0.025</v>
      </c>
      <c r="K132" s="181">
        <v>0.015</v>
      </c>
      <c r="L132" s="181">
        <f>U132+1.9%</f>
        <v>0.034</v>
      </c>
      <c r="M132" s="181">
        <f>U132+1.7%</f>
        <v>0.032</v>
      </c>
      <c r="N132" s="181">
        <f>$U132+2.4%</f>
        <v>0.039</v>
      </c>
      <c r="O132" s="181">
        <f>$U132+2.9%</f>
        <v>0.044</v>
      </c>
      <c r="P132" s="181">
        <f>$U132+4.7%</f>
        <v>0.062</v>
      </c>
      <c r="Q132" s="181">
        <f>$U132+13.9%</f>
        <v>0.15400000000000003</v>
      </c>
      <c r="R132" s="181">
        <f>$U132+13%</f>
        <v>0.14500000000000002</v>
      </c>
      <c r="S132" s="181"/>
      <c r="T132" s="182"/>
      <c r="U132" s="181">
        <v>0.015</v>
      </c>
    </row>
    <row r="133" spans="1:21" s="31" customFormat="1" ht="12.75">
      <c r="A133" s="85" t="s">
        <v>1437</v>
      </c>
      <c r="B133" s="86" t="s">
        <v>1442</v>
      </c>
      <c r="C133" s="87" t="str">
        <f t="shared" si="3"/>
        <v>10 lat/a od dnia zakupu</v>
      </c>
      <c r="D133" s="87">
        <v>42217</v>
      </c>
      <c r="E133" s="87">
        <v>42247</v>
      </c>
      <c r="F133" s="88">
        <v>100</v>
      </c>
      <c r="G133" s="166">
        <v>99.9</v>
      </c>
      <c r="H133" s="178">
        <v>22.0336</v>
      </c>
      <c r="I133" s="168">
        <v>1.9515</v>
      </c>
      <c r="J133" s="181">
        <v>0.025</v>
      </c>
      <c r="K133" s="181">
        <v>0.015</v>
      </c>
      <c r="L133" s="181">
        <f>U133+1.5%</f>
        <v>0.03</v>
      </c>
      <c r="M133" s="181">
        <f>U133+2%</f>
        <v>0.035</v>
      </c>
      <c r="N133" s="181">
        <f>$U133+2.6%</f>
        <v>0.041</v>
      </c>
      <c r="O133" s="181">
        <f>$U133+3.3%</f>
        <v>0.048</v>
      </c>
      <c r="P133" s="181">
        <f>$U133+4.4%</f>
        <v>0.059000000000000004</v>
      </c>
      <c r="Q133" s="181">
        <f>$U133+15.5%</f>
        <v>0.16999999999999998</v>
      </c>
      <c r="R133" s="181">
        <f>$U133+11.5%</f>
        <v>0.13</v>
      </c>
      <c r="S133" s="181"/>
      <c r="T133" s="182"/>
      <c r="U133" s="181">
        <v>0.015</v>
      </c>
    </row>
    <row r="134" spans="1:21" s="31" customFormat="1" ht="12.75">
      <c r="A134" s="85" t="s">
        <v>1444</v>
      </c>
      <c r="B134" s="86" t="s">
        <v>1450</v>
      </c>
      <c r="C134" s="87" t="str">
        <f t="shared" si="3"/>
        <v>10 lat/a od dnia zakupu</v>
      </c>
      <c r="D134" s="87">
        <v>42248</v>
      </c>
      <c r="E134" s="87">
        <v>42277</v>
      </c>
      <c r="F134" s="88">
        <v>100</v>
      </c>
      <c r="G134" s="166">
        <v>99.9</v>
      </c>
      <c r="H134" s="178">
        <v>24.9487</v>
      </c>
      <c r="I134" s="168">
        <v>1.6295</v>
      </c>
      <c r="J134" s="181">
        <v>0.025</v>
      </c>
      <c r="K134" s="181">
        <v>0.015</v>
      </c>
      <c r="L134" s="181">
        <f>U134+1.7%</f>
        <v>0.032</v>
      </c>
      <c r="M134" s="181">
        <f>U134+2%</f>
        <v>0.035</v>
      </c>
      <c r="N134" s="181">
        <f>$U134+2.9%</f>
        <v>0.044</v>
      </c>
      <c r="O134" s="181">
        <f>$U134+3%</f>
        <v>0.045</v>
      </c>
      <c r="P134" s="181">
        <f>$U134+5%</f>
        <v>0.065</v>
      </c>
      <c r="Q134" s="181">
        <f>$U134+15.6%</f>
        <v>0.17099999999999999</v>
      </c>
      <c r="R134" s="181">
        <f>$U134+10.8%</f>
        <v>0.12300000000000001</v>
      </c>
      <c r="S134" s="181"/>
      <c r="T134" s="182"/>
      <c r="U134" s="181">
        <v>0.015</v>
      </c>
    </row>
    <row r="135" spans="1:21" s="31" customFormat="1" ht="12.75">
      <c r="A135" s="85" t="s">
        <v>1459</v>
      </c>
      <c r="B135" s="86" t="s">
        <v>1458</v>
      </c>
      <c r="C135" s="87" t="str">
        <f t="shared" si="3"/>
        <v>10 lat/a od dnia zakupu</v>
      </c>
      <c r="D135" s="87">
        <v>42278</v>
      </c>
      <c r="E135" s="87">
        <v>42308</v>
      </c>
      <c r="F135" s="88">
        <v>100</v>
      </c>
      <c r="G135" s="166">
        <v>99.9</v>
      </c>
      <c r="H135" s="178">
        <v>10.5226</v>
      </c>
      <c r="I135" s="168">
        <v>1.3788</v>
      </c>
      <c r="J135" s="181">
        <v>0.025</v>
      </c>
      <c r="K135" s="181">
        <v>0.015</v>
      </c>
      <c r="L135" s="181">
        <f>U135+1.8%</f>
        <v>0.033</v>
      </c>
      <c r="M135" s="181">
        <f>U135+2%</f>
        <v>0.035</v>
      </c>
      <c r="N135" s="181">
        <f>$U135+2.9%</f>
        <v>0.044</v>
      </c>
      <c r="O135" s="181">
        <f>$U135+2.9%</f>
        <v>0.044</v>
      </c>
      <c r="P135" s="181">
        <f>$U135+5.5%</f>
        <v>0.07</v>
      </c>
      <c r="Q135" s="181">
        <f>$U135+16.1%</f>
        <v>0.176</v>
      </c>
      <c r="R135" s="181">
        <f>$U135+10.1%</f>
        <v>0.11599999999999999</v>
      </c>
      <c r="S135" s="181"/>
      <c r="T135" s="182"/>
      <c r="U135" s="181">
        <v>0.015</v>
      </c>
    </row>
    <row r="136" spans="1:21" s="33" customFormat="1" ht="12.75">
      <c r="A136" s="85" t="s">
        <v>1469</v>
      </c>
      <c r="B136" s="86" t="s">
        <v>1470</v>
      </c>
      <c r="C136" s="87" t="str">
        <f t="shared" si="3"/>
        <v>10 lat/a od dnia zakupu</v>
      </c>
      <c r="D136" s="87">
        <v>42309</v>
      </c>
      <c r="E136" s="87">
        <v>42338</v>
      </c>
      <c r="F136" s="88">
        <v>100</v>
      </c>
      <c r="G136" s="166">
        <v>99.9</v>
      </c>
      <c r="H136" s="178">
        <v>20.0852</v>
      </c>
      <c r="I136" s="168">
        <v>3.2913</v>
      </c>
      <c r="J136" s="181">
        <v>0.025</v>
      </c>
      <c r="K136" s="181">
        <v>0.015</v>
      </c>
      <c r="L136" s="181">
        <f>U136+2.2%</f>
        <v>0.037000000000000005</v>
      </c>
      <c r="M136" s="181">
        <f>$U136+1.9%</f>
        <v>0.034</v>
      </c>
      <c r="N136" s="181">
        <f>$U136+2.6%</f>
        <v>0.041</v>
      </c>
      <c r="O136" s="181">
        <f>$U136+3.2%</f>
        <v>0.047</v>
      </c>
      <c r="P136" s="181">
        <f>$U136+5.9%</f>
        <v>0.07400000000000001</v>
      </c>
      <c r="Q136" s="181">
        <f>$U136+17.2%</f>
        <v>0.187</v>
      </c>
      <c r="R136" s="181">
        <f>$U136+8.2%</f>
        <v>0.09699999999999999</v>
      </c>
      <c r="S136" s="181"/>
      <c r="T136" s="182"/>
      <c r="U136" s="181">
        <v>0.015</v>
      </c>
    </row>
    <row r="137" spans="1:21" s="31" customFormat="1" ht="12.75">
      <c r="A137" s="90" t="s">
        <v>1472</v>
      </c>
      <c r="B137" s="91" t="s">
        <v>1478</v>
      </c>
      <c r="C137" s="92" t="str">
        <f t="shared" si="3"/>
        <v>10 lat/a od dnia zakupu</v>
      </c>
      <c r="D137" s="92">
        <v>42339</v>
      </c>
      <c r="E137" s="92">
        <v>42369</v>
      </c>
      <c r="F137" s="93">
        <v>100</v>
      </c>
      <c r="G137" s="170">
        <v>99.9</v>
      </c>
      <c r="H137" s="183">
        <v>22.327</v>
      </c>
      <c r="I137" s="172">
        <v>6.161</v>
      </c>
      <c r="J137" s="184">
        <v>0.025</v>
      </c>
      <c r="K137" s="184">
        <v>0.015</v>
      </c>
      <c r="L137" s="184">
        <f>U137+2.1%</f>
        <v>0.036000000000000004</v>
      </c>
      <c r="M137" s="184">
        <f>$U137+1.8%</f>
        <v>0.033</v>
      </c>
      <c r="N137" s="184">
        <f>$U137+2.5%</f>
        <v>0.04</v>
      </c>
      <c r="O137" s="184">
        <f>$U137+3.1%</f>
        <v>0.046</v>
      </c>
      <c r="P137" s="181">
        <f>$U137+6.8%</f>
        <v>0.083</v>
      </c>
      <c r="Q137" s="181">
        <f>$U137+17.9%</f>
        <v>0.194</v>
      </c>
      <c r="R137" s="184">
        <f>$U137+6.6%</f>
        <v>0.081</v>
      </c>
      <c r="S137" s="184"/>
      <c r="T137" s="185"/>
      <c r="U137" s="184">
        <v>0.015</v>
      </c>
    </row>
    <row r="138" spans="1:21" ht="12.75">
      <c r="A138" s="85" t="s">
        <v>1485</v>
      </c>
      <c r="B138" s="86" t="s">
        <v>1486</v>
      </c>
      <c r="C138" s="87" t="str">
        <f t="shared" si="3"/>
        <v>10 lat/a od dnia zakupu</v>
      </c>
      <c r="D138" s="87">
        <v>42370</v>
      </c>
      <c r="E138" s="87">
        <v>42400</v>
      </c>
      <c r="F138" s="88">
        <v>100</v>
      </c>
      <c r="G138" s="88">
        <v>99.9</v>
      </c>
      <c r="H138" s="178">
        <v>33.9328</v>
      </c>
      <c r="I138" s="168">
        <v>8.5553</v>
      </c>
      <c r="J138" s="179">
        <v>0.025</v>
      </c>
      <c r="K138" s="179">
        <v>0.015</v>
      </c>
      <c r="L138" s="179">
        <f>U138+2.5%</f>
        <v>0.04</v>
      </c>
      <c r="M138" s="179">
        <f>$U138+1.3%</f>
        <v>0.028</v>
      </c>
      <c r="N138" s="179">
        <f>$U138+2.6%</f>
        <v>0.041</v>
      </c>
      <c r="O138" s="179">
        <f>$U138+3%</f>
        <v>0.045</v>
      </c>
      <c r="P138" s="179">
        <f>$U138+7.8%</f>
        <v>0.093</v>
      </c>
      <c r="Q138" s="179">
        <f>$U138+17.5%</f>
        <v>0.19</v>
      </c>
      <c r="R138" s="179">
        <f>$U138+6.6%</f>
        <v>0.081</v>
      </c>
      <c r="S138" s="179"/>
      <c r="T138" s="180"/>
      <c r="U138" s="179">
        <v>0.015</v>
      </c>
    </row>
    <row r="139" spans="1:21" s="33" customFormat="1" ht="12.75">
      <c r="A139" s="85" t="s">
        <v>1493</v>
      </c>
      <c r="B139" s="86" t="s">
        <v>1494</v>
      </c>
      <c r="C139" s="87" t="str">
        <f t="shared" si="3"/>
        <v>10 lat/a od dnia zakupu</v>
      </c>
      <c r="D139" s="87">
        <v>42401</v>
      </c>
      <c r="E139" s="87">
        <v>42428</v>
      </c>
      <c r="F139" s="88">
        <v>100</v>
      </c>
      <c r="G139" s="88">
        <v>99.6</v>
      </c>
      <c r="H139" s="178">
        <v>44.7867</v>
      </c>
      <c r="I139" s="168">
        <v>7.0972</v>
      </c>
      <c r="J139" s="181">
        <v>0.025</v>
      </c>
      <c r="K139" s="181">
        <v>0.023</v>
      </c>
      <c r="L139" s="181">
        <f>U139+2.1%</f>
        <v>0.036000000000000004</v>
      </c>
      <c r="M139" s="181">
        <f>$U139+1.1%</f>
        <v>0.026000000000000002</v>
      </c>
      <c r="N139" s="181">
        <f>$U139+3.4%</f>
        <v>0.049</v>
      </c>
      <c r="O139" s="181">
        <f>$U139+2.4%</f>
        <v>0.039</v>
      </c>
      <c r="P139" s="181">
        <f>$U139+8.6%</f>
        <v>0.10099999999999999</v>
      </c>
      <c r="Q139" s="181">
        <f>$U139+16.6%</f>
        <v>0.181</v>
      </c>
      <c r="R139" s="181">
        <f>$U139+6.2%</f>
        <v>0.077</v>
      </c>
      <c r="S139" s="181"/>
      <c r="T139" s="182"/>
      <c r="U139" s="181">
        <v>0.015</v>
      </c>
    </row>
    <row r="140" spans="1:21" s="33" customFormat="1" ht="12.75">
      <c r="A140" s="85" t="s">
        <v>1501</v>
      </c>
      <c r="B140" s="86" t="s">
        <v>1502</v>
      </c>
      <c r="C140" s="87" t="str">
        <f t="shared" si="3"/>
        <v>10 lat/a od dnia zakupu</v>
      </c>
      <c r="D140" s="87">
        <v>42430</v>
      </c>
      <c r="E140" s="87">
        <v>42460</v>
      </c>
      <c r="F140" s="88">
        <v>100</v>
      </c>
      <c r="G140" s="88">
        <v>99.9</v>
      </c>
      <c r="H140" s="178">
        <v>16.5924</v>
      </c>
      <c r="I140" s="168">
        <v>2.3481</v>
      </c>
      <c r="J140" s="181">
        <v>0.025</v>
      </c>
      <c r="K140" s="181">
        <v>0.033</v>
      </c>
      <c r="L140" s="181">
        <f>U140+1.9%</f>
        <v>0.034</v>
      </c>
      <c r="M140" s="181">
        <f>$U140+0.9%</f>
        <v>0.024</v>
      </c>
      <c r="N140" s="181">
        <f>$U140+4.4%</f>
        <v>0.059000000000000004</v>
      </c>
      <c r="O140" s="181">
        <f>$U140+2.7%</f>
        <v>0.042</v>
      </c>
      <c r="P140" s="181">
        <f>$U140+9.2%</f>
        <v>0.107</v>
      </c>
      <c r="Q140" s="181">
        <f>$U140+17.2%</f>
        <v>0.187</v>
      </c>
      <c r="R140" s="181">
        <f>$U140+3.9%</f>
        <v>0.054</v>
      </c>
      <c r="S140" s="181"/>
      <c r="T140" s="182"/>
      <c r="U140" s="181">
        <v>0.015</v>
      </c>
    </row>
    <row r="141" spans="1:21" s="33" customFormat="1" ht="12.75">
      <c r="A141" s="85" t="s">
        <v>1509</v>
      </c>
      <c r="B141" s="86" t="s">
        <v>1510</v>
      </c>
      <c r="C141" s="87" t="str">
        <f t="shared" si="3"/>
        <v>10 lat/a od dnia zakupu</v>
      </c>
      <c r="D141" s="87">
        <v>42461</v>
      </c>
      <c r="E141" s="87">
        <v>42490</v>
      </c>
      <c r="F141" s="88">
        <v>100</v>
      </c>
      <c r="G141" s="88">
        <v>99.9</v>
      </c>
      <c r="H141" s="178">
        <v>17.661</v>
      </c>
      <c r="I141" s="168">
        <v>1.3582</v>
      </c>
      <c r="J141" s="181">
        <v>0.025</v>
      </c>
      <c r="K141" s="181">
        <v>0.037000000000000005</v>
      </c>
      <c r="L141" s="181">
        <f>U141+1.4%</f>
        <v>0.028999999999999998</v>
      </c>
      <c r="M141" s="181">
        <f>$U141+1.2%</f>
        <v>0.027</v>
      </c>
      <c r="N141" s="181">
        <f>$U141+4.7%</f>
        <v>0.062</v>
      </c>
      <c r="O141" s="181">
        <f>$U141+2.4%</f>
        <v>0.039</v>
      </c>
      <c r="P141" s="181">
        <f>$U141+8.5%</f>
        <v>0.1</v>
      </c>
      <c r="Q141" s="181">
        <f>$U141+18.4%</f>
        <v>0.199</v>
      </c>
      <c r="R141" s="181">
        <f>$U141+2.8%</f>
        <v>0.043</v>
      </c>
      <c r="S141" s="181"/>
      <c r="T141" s="182"/>
      <c r="U141" s="181">
        <v>0.015</v>
      </c>
    </row>
    <row r="142" spans="1:21" s="33" customFormat="1" ht="12.75">
      <c r="A142" s="85" t="s">
        <v>1514</v>
      </c>
      <c r="B142" s="86" t="s">
        <v>1518</v>
      </c>
      <c r="C142" s="87" t="str">
        <f t="shared" si="3"/>
        <v>10 lat/a od dnia zakupu</v>
      </c>
      <c r="D142" s="87">
        <v>42491</v>
      </c>
      <c r="E142" s="87">
        <v>42521</v>
      </c>
      <c r="F142" s="88">
        <v>100</v>
      </c>
      <c r="G142" s="88">
        <v>99.9</v>
      </c>
      <c r="H142" s="178">
        <v>19.3597</v>
      </c>
      <c r="I142" s="168">
        <v>3.8698</v>
      </c>
      <c r="J142" s="181">
        <v>0.025</v>
      </c>
      <c r="K142" s="181">
        <f>U142+2%</f>
        <v>0.035</v>
      </c>
      <c r="L142" s="181">
        <f>U142+1.3%</f>
        <v>0.028</v>
      </c>
      <c r="M142" s="181">
        <v>0.032</v>
      </c>
      <c r="N142" s="181">
        <f>$U142+4.6%</f>
        <v>0.061</v>
      </c>
      <c r="O142" s="181">
        <f>$U142+3.2%</f>
        <v>0.047</v>
      </c>
      <c r="P142" s="181">
        <f>$U142+11%</f>
        <v>0.125</v>
      </c>
      <c r="Q142" s="181">
        <f>$U142+16.1%</f>
        <v>0.176</v>
      </c>
      <c r="R142" s="181"/>
      <c r="S142" s="181"/>
      <c r="T142" s="182"/>
      <c r="U142" s="181">
        <v>0.015</v>
      </c>
    </row>
    <row r="143" spans="1:21" s="33" customFormat="1" ht="12.75">
      <c r="A143" s="85" t="s">
        <v>1525</v>
      </c>
      <c r="B143" s="86" t="s">
        <v>1526</v>
      </c>
      <c r="C143" s="87" t="str">
        <f t="shared" si="3"/>
        <v>10 lat/a od dnia zakupu</v>
      </c>
      <c r="D143" s="87">
        <v>42522</v>
      </c>
      <c r="E143" s="87">
        <v>42551</v>
      </c>
      <c r="F143" s="88">
        <v>100</v>
      </c>
      <c r="G143" s="88">
        <v>99.9</v>
      </c>
      <c r="H143" s="178">
        <v>11.611</v>
      </c>
      <c r="I143" s="168">
        <v>1.1703</v>
      </c>
      <c r="J143" s="181">
        <v>0.025</v>
      </c>
      <c r="K143" s="181">
        <f>U143+2%</f>
        <v>0.035</v>
      </c>
      <c r="L143" s="181">
        <f>U143+1.6%</f>
        <v>0.031</v>
      </c>
      <c r="M143" s="181">
        <f>$U142+2.2%</f>
        <v>0.037000000000000005</v>
      </c>
      <c r="N143" s="181">
        <f>$U143+3.4%</f>
        <v>0.049</v>
      </c>
      <c r="O143" s="181">
        <f>$U143+4.3%</f>
        <v>0.057999999999999996</v>
      </c>
      <c r="P143" s="181">
        <f>$U143+12.4%</f>
        <v>0.139</v>
      </c>
      <c r="Q143" s="181">
        <f>$U143+14.7%</f>
        <v>0.16199999999999998</v>
      </c>
      <c r="R143" s="181"/>
      <c r="S143" s="181"/>
      <c r="T143" s="182"/>
      <c r="U143" s="181">
        <v>0.015</v>
      </c>
    </row>
    <row r="144" spans="1:21" s="33" customFormat="1" ht="12.75">
      <c r="A144" s="85" t="s">
        <v>1533</v>
      </c>
      <c r="B144" s="86" t="s">
        <v>1534</v>
      </c>
      <c r="C144" s="87" t="str">
        <f t="shared" si="3"/>
        <v>10 lat/a od dnia zakupu</v>
      </c>
      <c r="D144" s="87">
        <v>42552</v>
      </c>
      <c r="E144" s="87">
        <v>42582</v>
      </c>
      <c r="F144" s="88">
        <v>100</v>
      </c>
      <c r="G144" s="88">
        <v>99.9</v>
      </c>
      <c r="H144" s="178">
        <v>18.5849</v>
      </c>
      <c r="I144" s="168">
        <v>9.2302</v>
      </c>
      <c r="J144" s="181">
        <v>0.025</v>
      </c>
      <c r="K144" s="181">
        <f>U144+1.9%</f>
        <v>0.034</v>
      </c>
      <c r="L144" s="181">
        <f>U144+1.7%</f>
        <v>0.032</v>
      </c>
      <c r="M144" s="181">
        <f>$U143+2.4%</f>
        <v>0.039</v>
      </c>
      <c r="N144" s="181">
        <f>$U144+2.9%</f>
        <v>0.044</v>
      </c>
      <c r="O144" s="181">
        <f>$U144+4.7%</f>
        <v>0.062</v>
      </c>
      <c r="P144" s="181">
        <f>$U144+13.9%</f>
        <v>0.15400000000000003</v>
      </c>
      <c r="Q144" s="181">
        <f>$U144+13%</f>
        <v>0.14500000000000002</v>
      </c>
      <c r="R144" s="181"/>
      <c r="S144" s="181"/>
      <c r="T144" s="182"/>
      <c r="U144" s="181">
        <v>0.015</v>
      </c>
    </row>
    <row r="145" spans="1:21" s="33" customFormat="1" ht="12.75">
      <c r="A145" s="85" t="s">
        <v>1538</v>
      </c>
      <c r="B145" s="86" t="s">
        <v>1542</v>
      </c>
      <c r="C145" s="87" t="str">
        <f t="shared" si="3"/>
        <v>10 lat/a od dnia zakupu</v>
      </c>
      <c r="D145" s="87">
        <v>42583</v>
      </c>
      <c r="E145" s="87">
        <v>42613</v>
      </c>
      <c r="F145" s="88">
        <v>100</v>
      </c>
      <c r="G145" s="88">
        <v>99.9</v>
      </c>
      <c r="H145" s="178">
        <v>11.8206</v>
      </c>
      <c r="I145" s="168">
        <v>2.1461</v>
      </c>
      <c r="J145" s="181">
        <v>0.025</v>
      </c>
      <c r="K145" s="181">
        <f>U145+1.5%</f>
        <v>0.03</v>
      </c>
      <c r="L145" s="181">
        <f>U145+2%</f>
        <v>0.035</v>
      </c>
      <c r="M145" s="181">
        <f>$U144+2.6%</f>
        <v>0.041</v>
      </c>
      <c r="N145" s="181">
        <f>$U145+3.3%</f>
        <v>0.048</v>
      </c>
      <c r="O145" s="181">
        <f>$U145+4.4%</f>
        <v>0.059000000000000004</v>
      </c>
      <c r="P145" s="181">
        <f>$U145+15.5%</f>
        <v>0.16999999999999998</v>
      </c>
      <c r="Q145" s="181">
        <f>$U145+11.5%</f>
        <v>0.13</v>
      </c>
      <c r="R145" s="181"/>
      <c r="S145" s="181"/>
      <c r="T145" s="182"/>
      <c r="U145" s="181">
        <v>0.015</v>
      </c>
    </row>
    <row r="146" spans="1:21" s="33" customFormat="1" ht="12.75">
      <c r="A146" s="85" t="s">
        <v>1549</v>
      </c>
      <c r="B146" s="86" t="s">
        <v>1550</v>
      </c>
      <c r="C146" s="87" t="str">
        <f t="shared" si="3"/>
        <v>10 lat/a od dnia zakupu</v>
      </c>
      <c r="D146" s="87">
        <v>42614</v>
      </c>
      <c r="E146" s="87">
        <v>42643</v>
      </c>
      <c r="F146" s="88">
        <v>100</v>
      </c>
      <c r="G146" s="88">
        <v>99.9</v>
      </c>
      <c r="H146" s="178">
        <v>11.8243</v>
      </c>
      <c r="I146" s="168">
        <v>2.1556</v>
      </c>
      <c r="J146" s="181">
        <v>0.025</v>
      </c>
      <c r="K146" s="181">
        <f>U146+1.7%</f>
        <v>0.032</v>
      </c>
      <c r="L146" s="181">
        <f>U146+2%</f>
        <v>0.035</v>
      </c>
      <c r="M146" s="181">
        <f>$U146+2.9%</f>
        <v>0.044</v>
      </c>
      <c r="N146" s="181">
        <f>$U146+3%</f>
        <v>0.045</v>
      </c>
      <c r="O146" s="181">
        <f>$U146+5%</f>
        <v>0.065</v>
      </c>
      <c r="P146" s="181">
        <f>$U146+15.6%</f>
        <v>0.17099999999999999</v>
      </c>
      <c r="Q146" s="181">
        <f>$U146+10.8%</f>
        <v>0.12300000000000001</v>
      </c>
      <c r="R146" s="181"/>
      <c r="S146" s="181"/>
      <c r="T146" s="182"/>
      <c r="U146" s="181">
        <v>0.015</v>
      </c>
    </row>
    <row r="147" spans="1:21" s="33" customFormat="1" ht="12.75">
      <c r="A147" s="85" t="s">
        <v>1551</v>
      </c>
      <c r="B147" s="86" t="s">
        <v>1558</v>
      </c>
      <c r="C147" s="87" t="str">
        <f t="shared" si="3"/>
        <v>10 lat/a od dnia zakupu</v>
      </c>
      <c r="D147" s="87">
        <v>42644</v>
      </c>
      <c r="E147" s="87">
        <v>42674</v>
      </c>
      <c r="F147" s="88">
        <v>100</v>
      </c>
      <c r="G147" s="88">
        <v>99.7</v>
      </c>
      <c r="H147" s="178">
        <v>40.9778</v>
      </c>
      <c r="I147" s="168">
        <v>9.1155</v>
      </c>
      <c r="J147" s="181">
        <v>0.025</v>
      </c>
      <c r="K147" s="181">
        <f>U147+1.8%</f>
        <v>0.033</v>
      </c>
      <c r="L147" s="181">
        <f>U147+2%</f>
        <v>0.035</v>
      </c>
      <c r="M147" s="181">
        <f>$U147+2.9%</f>
        <v>0.044</v>
      </c>
      <c r="N147" s="181">
        <f>$U147+2.9%</f>
        <v>0.044</v>
      </c>
      <c r="O147" s="181">
        <f>$U147+5.5%</f>
        <v>0.07</v>
      </c>
      <c r="P147" s="181">
        <f>$U147+16.1%</f>
        <v>0.176</v>
      </c>
      <c r="Q147" s="181">
        <f>$U147+10.1%</f>
        <v>0.11599999999999999</v>
      </c>
      <c r="R147" s="181"/>
      <c r="S147" s="181"/>
      <c r="T147" s="182"/>
      <c r="U147" s="181">
        <v>0.015</v>
      </c>
    </row>
    <row r="148" spans="1:21" s="33" customFormat="1" ht="12.75">
      <c r="A148" s="85" t="s">
        <v>1570</v>
      </c>
      <c r="B148" s="86" t="s">
        <v>1571</v>
      </c>
      <c r="C148" s="87" t="str">
        <f t="shared" si="3"/>
        <v>10 lat/a od dnia zakupu</v>
      </c>
      <c r="D148" s="87">
        <v>42675</v>
      </c>
      <c r="E148" s="87">
        <v>42704</v>
      </c>
      <c r="F148" s="88">
        <v>100</v>
      </c>
      <c r="G148" s="88">
        <v>99.9</v>
      </c>
      <c r="H148" s="178">
        <v>25.1317</v>
      </c>
      <c r="I148" s="168">
        <v>2.1118</v>
      </c>
      <c r="J148" s="181">
        <v>0.025</v>
      </c>
      <c r="K148" s="181">
        <f>U148+2.2%</f>
        <v>0.037000000000000005</v>
      </c>
      <c r="L148" s="181">
        <f>$U148+1.9%</f>
        <v>0.034</v>
      </c>
      <c r="M148" s="181">
        <f>$U148+2.6%</f>
        <v>0.041</v>
      </c>
      <c r="N148" s="181">
        <f>$U148+3.2%</f>
        <v>0.047</v>
      </c>
      <c r="O148" s="181">
        <f>$U148+5.9%</f>
        <v>0.07400000000000001</v>
      </c>
      <c r="P148" s="181">
        <f>$U148+17.2%</f>
        <v>0.187</v>
      </c>
      <c r="Q148" s="181">
        <f>$U148+8.2%</f>
        <v>0.09699999999999999</v>
      </c>
      <c r="R148" s="181"/>
      <c r="S148" s="181"/>
      <c r="T148" s="182"/>
      <c r="U148" s="181">
        <v>0.015</v>
      </c>
    </row>
    <row r="149" spans="1:21" s="31" customFormat="1" ht="12.75">
      <c r="A149" s="90" t="s">
        <v>1582</v>
      </c>
      <c r="B149" s="91" t="s">
        <v>1583</v>
      </c>
      <c r="C149" s="92" t="str">
        <f t="shared" si="3"/>
        <v>10 lat/a od dnia zakupu</v>
      </c>
      <c r="D149" s="92">
        <v>42705</v>
      </c>
      <c r="E149" s="92">
        <v>42735</v>
      </c>
      <c r="F149" s="93">
        <v>100</v>
      </c>
      <c r="G149" s="93">
        <v>99.9</v>
      </c>
      <c r="H149" s="183">
        <v>31.1136</v>
      </c>
      <c r="I149" s="172">
        <v>6.5921</v>
      </c>
      <c r="J149" s="184">
        <v>0.027</v>
      </c>
      <c r="K149" s="184">
        <f>U149+2.1%</f>
        <v>0.036000000000000004</v>
      </c>
      <c r="L149" s="184">
        <f>$U149+1.8%</f>
        <v>0.033</v>
      </c>
      <c r="M149" s="184">
        <f>$U149+2.5%</f>
        <v>0.04</v>
      </c>
      <c r="N149" s="184">
        <f>$U149+3.1%</f>
        <v>0.046</v>
      </c>
      <c r="O149" s="181">
        <f>$U149+6.8%</f>
        <v>0.083</v>
      </c>
      <c r="P149" s="181">
        <f>$U149+17.9%</f>
        <v>0.194</v>
      </c>
      <c r="Q149" s="184">
        <f>$U149+6.6%</f>
        <v>0.081</v>
      </c>
      <c r="R149" s="184"/>
      <c r="S149" s="184"/>
      <c r="T149" s="185"/>
      <c r="U149" s="184">
        <v>0.015</v>
      </c>
    </row>
    <row r="150" spans="1:21" ht="12.75">
      <c r="A150" s="85" t="s">
        <v>1594</v>
      </c>
      <c r="B150" s="86" t="s">
        <v>1595</v>
      </c>
      <c r="C150" s="87" t="str">
        <f t="shared" si="3"/>
        <v>10 lat/a od dnia zakupu</v>
      </c>
      <c r="D150" s="87">
        <v>42736</v>
      </c>
      <c r="E150" s="87">
        <v>42766</v>
      </c>
      <c r="F150" s="88">
        <v>100</v>
      </c>
      <c r="G150" s="166">
        <v>99.9</v>
      </c>
      <c r="H150" s="178">
        <v>58.7063</v>
      </c>
      <c r="I150" s="168">
        <v>10.6964</v>
      </c>
      <c r="J150" s="179">
        <v>0.027</v>
      </c>
      <c r="K150" s="179">
        <f>U150+2.5%</f>
        <v>0.04</v>
      </c>
      <c r="L150" s="179">
        <f>$U150+1.3%</f>
        <v>0.028</v>
      </c>
      <c r="M150" s="179">
        <f>$U150+2.6%</f>
        <v>0.041</v>
      </c>
      <c r="N150" s="179">
        <f>$U150+3%</f>
        <v>0.045</v>
      </c>
      <c r="O150" s="179">
        <f>$U150+7.8%</f>
        <v>0.093</v>
      </c>
      <c r="P150" s="179">
        <f>$U150+17.5%</f>
        <v>0.19</v>
      </c>
      <c r="Q150" s="179">
        <v>0.081</v>
      </c>
      <c r="R150" s="179"/>
      <c r="S150" s="179"/>
      <c r="T150" s="180"/>
      <c r="U150" s="179">
        <v>0.015</v>
      </c>
    </row>
    <row r="151" spans="1:21" s="31" customFormat="1" ht="12.75">
      <c r="A151" s="85" t="s">
        <v>1605</v>
      </c>
      <c r="B151" s="86" t="s">
        <v>1606</v>
      </c>
      <c r="C151" s="87" t="str">
        <f t="shared" si="3"/>
        <v>10 lat/a od dnia zakupu</v>
      </c>
      <c r="D151" s="87">
        <v>42767</v>
      </c>
      <c r="E151" s="87">
        <v>42794</v>
      </c>
      <c r="F151" s="88">
        <v>100</v>
      </c>
      <c r="G151" s="166">
        <v>99.9</v>
      </c>
      <c r="H151" s="178">
        <v>37.9627</v>
      </c>
      <c r="I151" s="168">
        <v>6.2999</v>
      </c>
      <c r="J151" s="181">
        <v>0.027</v>
      </c>
      <c r="K151" s="181">
        <f>U151+2.1%</f>
        <v>0.036000000000000004</v>
      </c>
      <c r="L151" s="181">
        <f>$U151+1.1%</f>
        <v>0.026000000000000002</v>
      </c>
      <c r="M151" s="181">
        <f>$U151+3.4%</f>
        <v>0.049</v>
      </c>
      <c r="N151" s="181">
        <f>$U151+2.4%</f>
        <v>0.039</v>
      </c>
      <c r="O151" s="181">
        <f>$U151+8.6%</f>
        <v>0.10099999999999999</v>
      </c>
      <c r="P151" s="181">
        <f>$U151+16.6%</f>
        <v>0.181</v>
      </c>
      <c r="Q151" s="181">
        <f>$U151+6.2%</f>
        <v>0.077</v>
      </c>
      <c r="R151" s="181"/>
      <c r="S151" s="181"/>
      <c r="T151" s="182"/>
      <c r="U151" s="181">
        <v>0.015</v>
      </c>
    </row>
    <row r="152" spans="1:21" ht="12.75">
      <c r="A152" s="85" t="s">
        <v>1635</v>
      </c>
      <c r="B152" s="86" t="s">
        <v>1636</v>
      </c>
      <c r="C152" s="87" t="str">
        <f aca="true" t="shared" si="4" ref="C152:C231">"10"&amp;WykupCOI</f>
        <v>10 lat/a od dnia zakupu</v>
      </c>
      <c r="D152" s="87">
        <v>42795</v>
      </c>
      <c r="E152" s="87">
        <v>42825</v>
      </c>
      <c r="F152" s="88">
        <v>100</v>
      </c>
      <c r="G152" s="166">
        <v>99.9</v>
      </c>
      <c r="H152" s="178">
        <v>38.4166</v>
      </c>
      <c r="I152" s="168">
        <v>3.4957</v>
      </c>
      <c r="J152" s="181">
        <v>0.027</v>
      </c>
      <c r="K152" s="181">
        <f>U152+1.9%</f>
        <v>0.034</v>
      </c>
      <c r="L152" s="181">
        <f>$U152+0.9%</f>
        <v>0.024</v>
      </c>
      <c r="M152" s="181">
        <f>$U152+4.4%</f>
        <v>0.059000000000000004</v>
      </c>
      <c r="N152" s="181">
        <f>$U152+2.7%</f>
        <v>0.042</v>
      </c>
      <c r="O152" s="181">
        <f>$U152+9.2%</f>
        <v>0.107</v>
      </c>
      <c r="P152" s="181">
        <f>$U152+17.2%</f>
        <v>0.187</v>
      </c>
      <c r="Q152" s="181">
        <f>$U152+3.9%</f>
        <v>0.054</v>
      </c>
      <c r="R152" s="181"/>
      <c r="S152" s="181"/>
      <c r="T152" s="182"/>
      <c r="U152" s="181">
        <v>0.015</v>
      </c>
    </row>
    <row r="153" spans="1:21" ht="12.75">
      <c r="A153" s="85" t="s">
        <v>1637</v>
      </c>
      <c r="B153" s="86" t="s">
        <v>1638</v>
      </c>
      <c r="C153" s="87" t="str">
        <f t="shared" si="4"/>
        <v>10 lat/a od dnia zakupu</v>
      </c>
      <c r="D153" s="87">
        <v>42826</v>
      </c>
      <c r="E153" s="87">
        <v>42855</v>
      </c>
      <c r="F153" s="88">
        <v>100</v>
      </c>
      <c r="G153" s="166">
        <v>99.9</v>
      </c>
      <c r="H153" s="178">
        <v>29.3323</v>
      </c>
      <c r="I153" s="168">
        <v>2.8085</v>
      </c>
      <c r="J153" s="181">
        <v>0.027</v>
      </c>
      <c r="K153" s="181">
        <f>U153+1.4%</f>
        <v>0.028999999999999998</v>
      </c>
      <c r="L153" s="181">
        <f>$U153+1.2%</f>
        <v>0.027</v>
      </c>
      <c r="M153" s="181">
        <f>$U153+4.7%</f>
        <v>0.062</v>
      </c>
      <c r="N153" s="181">
        <f>$U153+2.4%</f>
        <v>0.039</v>
      </c>
      <c r="O153" s="181">
        <f>$U153+8.5%</f>
        <v>0.1</v>
      </c>
      <c r="P153" s="181">
        <f>$U153+18.4%</f>
        <v>0.199</v>
      </c>
      <c r="Q153" s="181">
        <f>$U153+2.8%</f>
        <v>0.043</v>
      </c>
      <c r="R153" s="181"/>
      <c r="S153" s="181"/>
      <c r="T153" s="182"/>
      <c r="U153" s="181">
        <v>0.015</v>
      </c>
    </row>
    <row r="154" spans="1:21" ht="12.75">
      <c r="A154" s="85" t="s">
        <v>1694</v>
      </c>
      <c r="B154" s="86" t="s">
        <v>1695</v>
      </c>
      <c r="C154" s="87" t="str">
        <f t="shared" si="4"/>
        <v>10 lat/a od dnia zakupu</v>
      </c>
      <c r="D154" s="87">
        <v>42856</v>
      </c>
      <c r="E154" s="87">
        <v>42886</v>
      </c>
      <c r="F154" s="88">
        <v>100</v>
      </c>
      <c r="G154" s="166">
        <v>99.9</v>
      </c>
      <c r="H154" s="178">
        <v>43.2743</v>
      </c>
      <c r="I154" s="168">
        <v>3.9888</v>
      </c>
      <c r="J154" s="181">
        <v>0.027</v>
      </c>
      <c r="K154" s="181">
        <f>U154+1.3%</f>
        <v>0.028</v>
      </c>
      <c r="L154" s="181">
        <f>$U154+1.7%</f>
        <v>0.032</v>
      </c>
      <c r="M154" s="181">
        <f>$U154+4.6%</f>
        <v>0.061</v>
      </c>
      <c r="N154" s="181">
        <f>$U154+3.2%</f>
        <v>0.047</v>
      </c>
      <c r="O154" s="181">
        <f>$U154+11%</f>
        <v>0.125</v>
      </c>
      <c r="P154" s="181">
        <f>$U154+16.1%</f>
        <v>0.176</v>
      </c>
      <c r="Q154" s="181"/>
      <c r="R154" s="181"/>
      <c r="S154" s="181"/>
      <c r="T154" s="182"/>
      <c r="U154" s="181">
        <v>0.015</v>
      </c>
    </row>
    <row r="155" spans="1:21" ht="12.75">
      <c r="A155" s="85" t="s">
        <v>1706</v>
      </c>
      <c r="B155" s="86" t="s">
        <v>1707</v>
      </c>
      <c r="C155" s="87" t="str">
        <f t="shared" si="4"/>
        <v>10 lat/a od dnia zakupu</v>
      </c>
      <c r="D155" s="87">
        <v>42887</v>
      </c>
      <c r="E155" s="87">
        <v>42916</v>
      </c>
      <c r="F155" s="88">
        <v>100</v>
      </c>
      <c r="G155" s="166">
        <v>99.9</v>
      </c>
      <c r="H155" s="178">
        <v>33.4533</v>
      </c>
      <c r="I155" s="168">
        <v>3.063</v>
      </c>
      <c r="J155" s="181">
        <v>0.027</v>
      </c>
      <c r="K155" s="181">
        <f>U155+1.6%</f>
        <v>0.031</v>
      </c>
      <c r="L155" s="181">
        <f>$U155+2.2%</f>
        <v>0.037000000000000005</v>
      </c>
      <c r="M155" s="181">
        <f>$U155+3.4%</f>
        <v>0.049</v>
      </c>
      <c r="N155" s="181">
        <f>$U155+4.3%</f>
        <v>0.057999999999999996</v>
      </c>
      <c r="O155" s="181">
        <f>$U155+12.4%</f>
        <v>0.139</v>
      </c>
      <c r="P155" s="181">
        <f>$U155+14.7%</f>
        <v>0.16199999999999998</v>
      </c>
      <c r="Q155" s="181"/>
      <c r="R155" s="181"/>
      <c r="S155" s="181"/>
      <c r="T155" s="182"/>
      <c r="U155" s="181">
        <v>0.015</v>
      </c>
    </row>
    <row r="156" spans="1:21" ht="12.75">
      <c r="A156" s="85" t="s">
        <v>1715</v>
      </c>
      <c r="B156" s="86" t="s">
        <v>1721</v>
      </c>
      <c r="C156" s="87" t="str">
        <f t="shared" si="4"/>
        <v>10 lat/a od dnia zakupu</v>
      </c>
      <c r="D156" s="87">
        <v>42917</v>
      </c>
      <c r="E156" s="87">
        <v>42947</v>
      </c>
      <c r="F156" s="88">
        <v>100</v>
      </c>
      <c r="G156" s="166">
        <v>99.9</v>
      </c>
      <c r="H156" s="178">
        <v>38.0916</v>
      </c>
      <c r="I156" s="168">
        <v>6.3371</v>
      </c>
      <c r="J156" s="181">
        <v>0.027</v>
      </c>
      <c r="K156" s="181">
        <f>U156+1.7%</f>
        <v>0.032</v>
      </c>
      <c r="L156" s="181">
        <f>$U156+2.4%</f>
        <v>0.039</v>
      </c>
      <c r="M156" s="181">
        <f>$U156+2.9%</f>
        <v>0.044</v>
      </c>
      <c r="N156" s="181">
        <f>$U156+4.7%</f>
        <v>0.062</v>
      </c>
      <c r="O156" s="181">
        <f>$U156+13.9%</f>
        <v>0.15400000000000003</v>
      </c>
      <c r="P156" s="181">
        <f>$U156+13%</f>
        <v>0.14500000000000002</v>
      </c>
      <c r="Q156" s="181"/>
      <c r="R156" s="181"/>
      <c r="S156" s="181"/>
      <c r="T156" s="182"/>
      <c r="U156" s="181">
        <v>0.015</v>
      </c>
    </row>
    <row r="157" spans="1:21" ht="12.75">
      <c r="A157" s="85" t="s">
        <v>1730</v>
      </c>
      <c r="B157" s="86" t="s">
        <v>1731</v>
      </c>
      <c r="C157" s="87" t="str">
        <f t="shared" si="4"/>
        <v>10 lat/a od dnia zakupu</v>
      </c>
      <c r="D157" s="87">
        <v>42948</v>
      </c>
      <c r="E157" s="87">
        <v>42978</v>
      </c>
      <c r="F157" s="88">
        <v>100</v>
      </c>
      <c r="G157" s="166">
        <v>99.9</v>
      </c>
      <c r="H157" s="178">
        <v>40.3539</v>
      </c>
      <c r="I157" s="168">
        <v>8.656</v>
      </c>
      <c r="J157" s="181">
        <v>0.027</v>
      </c>
      <c r="K157" s="181">
        <f>U157+2%</f>
        <v>0.035</v>
      </c>
      <c r="L157" s="181">
        <f>$U157+2.6%</f>
        <v>0.041</v>
      </c>
      <c r="M157" s="181">
        <f>$U157+3.3%</f>
        <v>0.048</v>
      </c>
      <c r="N157" s="181">
        <f>$U157+4.4%</f>
        <v>0.059000000000000004</v>
      </c>
      <c r="O157" s="181">
        <f>$U157+15.5%</f>
        <v>0.16999999999999998</v>
      </c>
      <c r="P157" s="181">
        <f>$U157+11.5%</f>
        <v>0.13</v>
      </c>
      <c r="Q157" s="181"/>
      <c r="R157" s="181"/>
      <c r="S157" s="181"/>
      <c r="T157" s="182"/>
      <c r="U157" s="181">
        <v>0.015</v>
      </c>
    </row>
    <row r="158" spans="1:21" ht="12.75">
      <c r="A158" s="85" t="s">
        <v>1742</v>
      </c>
      <c r="B158" s="86" t="s">
        <v>1743</v>
      </c>
      <c r="C158" s="87" t="str">
        <f t="shared" si="4"/>
        <v>10 lat/a od dnia zakupu</v>
      </c>
      <c r="D158" s="87">
        <v>42979</v>
      </c>
      <c r="E158" s="87">
        <v>43008</v>
      </c>
      <c r="F158" s="88">
        <v>100</v>
      </c>
      <c r="G158" s="166">
        <v>99.9</v>
      </c>
      <c r="H158" s="178">
        <v>38.3495</v>
      </c>
      <c r="I158" s="168">
        <v>10.6379</v>
      </c>
      <c r="J158" s="181">
        <v>0.027</v>
      </c>
      <c r="K158" s="181">
        <f>U158+2%</f>
        <v>0.035</v>
      </c>
      <c r="L158" s="181">
        <f>$U158+2.9%</f>
        <v>0.044</v>
      </c>
      <c r="M158" s="181">
        <f>$U158+3%</f>
        <v>0.045</v>
      </c>
      <c r="N158" s="181">
        <f>$U158+5%</f>
        <v>0.065</v>
      </c>
      <c r="O158" s="181">
        <f>$U158+15.6%</f>
        <v>0.17099999999999999</v>
      </c>
      <c r="P158" s="181">
        <f>$U158+10.8%</f>
        <v>0.12300000000000001</v>
      </c>
      <c r="Q158" s="181"/>
      <c r="R158" s="181"/>
      <c r="S158" s="181"/>
      <c r="T158" s="182"/>
      <c r="U158" s="181">
        <v>0.015</v>
      </c>
    </row>
    <row r="159" spans="1:21" ht="12.75">
      <c r="A159" s="85" t="s">
        <v>1758</v>
      </c>
      <c r="B159" s="86" t="s">
        <v>1759</v>
      </c>
      <c r="C159" s="87" t="str">
        <f t="shared" si="4"/>
        <v>10 lat/a od dnia zakupu</v>
      </c>
      <c r="D159" s="87">
        <v>43009</v>
      </c>
      <c r="E159" s="87">
        <v>43039</v>
      </c>
      <c r="F159" s="88">
        <v>100</v>
      </c>
      <c r="G159" s="166">
        <v>99.9</v>
      </c>
      <c r="H159" s="178">
        <v>53.8314</v>
      </c>
      <c r="I159" s="168">
        <v>13.2253</v>
      </c>
      <c r="J159" s="181">
        <v>0.027</v>
      </c>
      <c r="K159" s="181">
        <f>U159+2%</f>
        <v>0.035</v>
      </c>
      <c r="L159" s="181">
        <f>$U159+2.9%</f>
        <v>0.044</v>
      </c>
      <c r="M159" s="181">
        <f>$U159+2.9%</f>
        <v>0.044</v>
      </c>
      <c r="N159" s="181">
        <f>$U159+5.5%</f>
        <v>0.07</v>
      </c>
      <c r="O159" s="181">
        <f>$U159+16.1%</f>
        <v>0.176</v>
      </c>
      <c r="P159" s="181">
        <f>$U159+10.1%</f>
        <v>0.11599999999999999</v>
      </c>
      <c r="Q159" s="181"/>
      <c r="R159" s="181"/>
      <c r="S159" s="181"/>
      <c r="T159" s="182"/>
      <c r="U159" s="181">
        <v>0.015</v>
      </c>
    </row>
    <row r="160" spans="1:21" ht="12.75">
      <c r="A160" s="85" t="s">
        <v>1772</v>
      </c>
      <c r="B160" s="86" t="s">
        <v>1773</v>
      </c>
      <c r="C160" s="87" t="str">
        <f t="shared" si="4"/>
        <v>10 lat/a od dnia zakupu</v>
      </c>
      <c r="D160" s="87">
        <v>43040</v>
      </c>
      <c r="E160" s="87">
        <v>43069</v>
      </c>
      <c r="F160" s="88">
        <v>100</v>
      </c>
      <c r="G160" s="166">
        <v>99.9</v>
      </c>
      <c r="H160" s="178">
        <v>70.8832</v>
      </c>
      <c r="I160" s="168">
        <v>23.302</v>
      </c>
      <c r="J160" s="181">
        <v>0.027</v>
      </c>
      <c r="K160" s="181">
        <f>$U160+1.9%</f>
        <v>0.034</v>
      </c>
      <c r="L160" s="181">
        <f>$U160+2.6%</f>
        <v>0.041</v>
      </c>
      <c r="M160" s="181">
        <f>$U160+3.2%</f>
        <v>0.047</v>
      </c>
      <c r="N160" s="181">
        <f>$U160+5.9%</f>
        <v>0.07400000000000001</v>
      </c>
      <c r="O160" s="181">
        <f>$U160+17.2%</f>
        <v>0.187</v>
      </c>
      <c r="P160" s="181">
        <f>$U160+8.2%</f>
        <v>0.09699999999999999</v>
      </c>
      <c r="Q160" s="181"/>
      <c r="R160" s="181"/>
      <c r="S160" s="181"/>
      <c r="T160" s="182"/>
      <c r="U160" s="181">
        <v>0.015</v>
      </c>
    </row>
    <row r="161" spans="1:21" ht="12.75">
      <c r="A161" s="90" t="s">
        <v>1787</v>
      </c>
      <c r="B161" s="91" t="s">
        <v>1786</v>
      </c>
      <c r="C161" s="92" t="str">
        <f t="shared" si="4"/>
        <v>10 lat/a od dnia zakupu</v>
      </c>
      <c r="D161" s="92">
        <v>43070</v>
      </c>
      <c r="E161" s="92">
        <v>43100</v>
      </c>
      <c r="F161" s="93">
        <v>100</v>
      </c>
      <c r="G161" s="170">
        <v>99.9</v>
      </c>
      <c r="H161" s="183">
        <v>77.8877</v>
      </c>
      <c r="I161" s="172">
        <v>27.7303</v>
      </c>
      <c r="J161" s="184">
        <v>0.027</v>
      </c>
      <c r="K161" s="184">
        <f>$U161+1.8%</f>
        <v>0.033</v>
      </c>
      <c r="L161" s="184">
        <f>$U161+2.5%</f>
        <v>0.04</v>
      </c>
      <c r="M161" s="184">
        <f>$U161+3.1%</f>
        <v>0.046</v>
      </c>
      <c r="N161" s="181">
        <f>$U161+6.8%</f>
        <v>0.083</v>
      </c>
      <c r="O161" s="184">
        <f>$U161+17.9%</f>
        <v>0.194</v>
      </c>
      <c r="P161" s="184">
        <f>$U161+6.6%</f>
        <v>0.081</v>
      </c>
      <c r="Q161" s="184"/>
      <c r="R161" s="184"/>
      <c r="S161" s="184"/>
      <c r="T161" s="185"/>
      <c r="U161" s="184">
        <v>0.015</v>
      </c>
    </row>
    <row r="162" spans="1:21" ht="12.75">
      <c r="A162" s="85" t="s">
        <v>1796</v>
      </c>
      <c r="B162" s="86" t="s">
        <v>1803</v>
      </c>
      <c r="C162" s="87" t="str">
        <f t="shared" si="4"/>
        <v>10 lat/a od dnia zakupu</v>
      </c>
      <c r="D162" s="87">
        <v>43101</v>
      </c>
      <c r="E162" s="87">
        <v>43131</v>
      </c>
      <c r="F162" s="88">
        <v>100</v>
      </c>
      <c r="G162" s="166">
        <v>99.9</v>
      </c>
      <c r="H162" s="178">
        <v>115.2897</v>
      </c>
      <c r="I162" s="168">
        <v>35.4011</v>
      </c>
      <c r="J162" s="186">
        <v>0.027</v>
      </c>
      <c r="K162" s="179">
        <f>$U162+1.3%</f>
        <v>0.028</v>
      </c>
      <c r="L162" s="186">
        <f>$U162+2.6%</f>
        <v>0.041</v>
      </c>
      <c r="M162" s="186">
        <f>$U162+3%</f>
        <v>0.045</v>
      </c>
      <c r="N162" s="179">
        <f>$U162+7.8%</f>
        <v>0.093</v>
      </c>
      <c r="O162" s="179">
        <f>$U162+17.5%</f>
        <v>0.19</v>
      </c>
      <c r="P162" s="186">
        <f>$U162+6.6%</f>
        <v>0.081</v>
      </c>
      <c r="Q162" s="186"/>
      <c r="R162" s="186"/>
      <c r="S162" s="186"/>
      <c r="T162" s="187"/>
      <c r="U162" s="186">
        <v>0.015</v>
      </c>
    </row>
    <row r="163" spans="1:21" ht="12.75">
      <c r="A163" s="85" t="s">
        <v>1810</v>
      </c>
      <c r="B163" s="86" t="s">
        <v>1817</v>
      </c>
      <c r="C163" s="87" t="str">
        <f t="shared" si="4"/>
        <v>10 lat/a od dnia zakupu</v>
      </c>
      <c r="D163" s="87">
        <v>43132</v>
      </c>
      <c r="E163" s="87">
        <v>43159</v>
      </c>
      <c r="F163" s="88">
        <v>100</v>
      </c>
      <c r="G163" s="166">
        <v>99.9</v>
      </c>
      <c r="H163" s="178">
        <v>96.0849</v>
      </c>
      <c r="I163" s="168">
        <v>28.8962</v>
      </c>
      <c r="J163" s="181">
        <v>0.027</v>
      </c>
      <c r="K163" s="181">
        <f>$U163+1.1%</f>
        <v>0.026000000000000002</v>
      </c>
      <c r="L163" s="181">
        <f>$U163+3.4%</f>
        <v>0.049</v>
      </c>
      <c r="M163" s="181">
        <f>$U163+2.4%</f>
        <v>0.039</v>
      </c>
      <c r="N163" s="181">
        <f>$U163+8.6%</f>
        <v>0.10099999999999999</v>
      </c>
      <c r="O163" s="181">
        <f>$U163+16.6%</f>
        <v>0.181</v>
      </c>
      <c r="P163" s="181">
        <f>$U163+6.2%</f>
        <v>0.077</v>
      </c>
      <c r="Q163" s="181"/>
      <c r="R163" s="181"/>
      <c r="S163" s="181"/>
      <c r="T163" s="182"/>
      <c r="U163" s="181">
        <v>0.015</v>
      </c>
    </row>
    <row r="164" spans="1:21" ht="12.75">
      <c r="A164" s="85" t="s">
        <v>1828</v>
      </c>
      <c r="B164" s="86" t="s">
        <v>1829</v>
      </c>
      <c r="C164" s="87" t="str">
        <f t="shared" si="4"/>
        <v>10 lat/a od dnia zakupu</v>
      </c>
      <c r="D164" s="87">
        <v>43160</v>
      </c>
      <c r="E164" s="87">
        <v>43190</v>
      </c>
      <c r="F164" s="88">
        <v>100</v>
      </c>
      <c r="G164" s="166">
        <v>99.9</v>
      </c>
      <c r="H164" s="178">
        <v>67.1027</v>
      </c>
      <c r="I164" s="168">
        <v>19.0499</v>
      </c>
      <c r="J164" s="181">
        <v>0.027</v>
      </c>
      <c r="K164" s="181">
        <f>$U164+0.9%</f>
        <v>0.024</v>
      </c>
      <c r="L164" s="181">
        <f>$U164+4.4%</f>
        <v>0.059000000000000004</v>
      </c>
      <c r="M164" s="181">
        <f>$U164+2.7%</f>
        <v>0.042</v>
      </c>
      <c r="N164" s="181">
        <f>$U164+9.2%</f>
        <v>0.107</v>
      </c>
      <c r="O164" s="181">
        <f>$U164+17.2%</f>
        <v>0.187</v>
      </c>
      <c r="P164" s="181">
        <f>$U164+3.9%</f>
        <v>0.054</v>
      </c>
      <c r="Q164" s="181"/>
      <c r="R164" s="181"/>
      <c r="S164" s="181"/>
      <c r="T164" s="182"/>
      <c r="U164" s="181">
        <v>0.015</v>
      </c>
    </row>
    <row r="165" spans="1:21" ht="12.75">
      <c r="A165" s="85" t="s">
        <v>1842</v>
      </c>
      <c r="B165" s="86" t="s">
        <v>1843</v>
      </c>
      <c r="C165" s="87" t="str">
        <f t="shared" si="4"/>
        <v>10 lat/a od dnia zakupu</v>
      </c>
      <c r="D165" s="87">
        <v>43191</v>
      </c>
      <c r="E165" s="87">
        <v>43220</v>
      </c>
      <c r="F165" s="88">
        <v>100</v>
      </c>
      <c r="G165" s="166">
        <v>99.9</v>
      </c>
      <c r="H165" s="178">
        <v>78.5199</v>
      </c>
      <c r="I165" s="168">
        <v>11.1155</v>
      </c>
      <c r="J165" s="181">
        <v>0.027</v>
      </c>
      <c r="K165" s="181">
        <f>$U165+1.2%</f>
        <v>0.027</v>
      </c>
      <c r="L165" s="181">
        <f>$U165+4.7%</f>
        <v>0.062</v>
      </c>
      <c r="M165" s="181">
        <f>$U165+2.4%</f>
        <v>0.039</v>
      </c>
      <c r="N165" s="181">
        <f>$U165+8.5%</f>
        <v>0.1</v>
      </c>
      <c r="O165" s="181">
        <f>$U165+18.4%</f>
        <v>0.199</v>
      </c>
      <c r="P165" s="181">
        <f>$U165+2.8%</f>
        <v>0.043</v>
      </c>
      <c r="Q165" s="181"/>
      <c r="R165" s="181"/>
      <c r="S165" s="181"/>
      <c r="T165" s="182"/>
      <c r="U165" s="181">
        <v>0.015</v>
      </c>
    </row>
    <row r="166" spans="1:21" ht="12.75">
      <c r="A166" s="85" t="s">
        <v>1855</v>
      </c>
      <c r="B166" s="86" t="s">
        <v>1856</v>
      </c>
      <c r="C166" s="87" t="str">
        <f t="shared" si="4"/>
        <v>10 lat/a od dnia zakupu</v>
      </c>
      <c r="D166" s="87">
        <v>43221</v>
      </c>
      <c r="E166" s="87">
        <v>43251</v>
      </c>
      <c r="F166" s="88">
        <v>100</v>
      </c>
      <c r="G166" s="166">
        <v>99.9</v>
      </c>
      <c r="H166" s="178">
        <v>68.1565</v>
      </c>
      <c r="I166" s="168">
        <v>14.9468</v>
      </c>
      <c r="J166" s="181">
        <v>0.027</v>
      </c>
      <c r="K166" s="181">
        <f>$U166+1.7%</f>
        <v>0.032</v>
      </c>
      <c r="L166" s="181">
        <f>$U166+4.6%</f>
        <v>0.061</v>
      </c>
      <c r="M166" s="181">
        <f>$U166+3.2%</f>
        <v>0.047</v>
      </c>
      <c r="N166" s="181">
        <f>$U166+11%</f>
        <v>0.125</v>
      </c>
      <c r="O166" s="181">
        <f>$U166+16.1%</f>
        <v>0.176</v>
      </c>
      <c r="P166" s="181"/>
      <c r="Q166" s="181"/>
      <c r="R166" s="181"/>
      <c r="S166" s="181"/>
      <c r="T166" s="182"/>
      <c r="U166" s="181">
        <v>0.015</v>
      </c>
    </row>
    <row r="167" spans="1:21" ht="12.75">
      <c r="A167" s="85" t="s">
        <v>1875</v>
      </c>
      <c r="B167" s="86" t="s">
        <v>1876</v>
      </c>
      <c r="C167" s="87" t="str">
        <f t="shared" si="4"/>
        <v>10 lat/a od dnia zakupu</v>
      </c>
      <c r="D167" s="87">
        <v>43252</v>
      </c>
      <c r="E167" s="87">
        <v>43281</v>
      </c>
      <c r="F167" s="88">
        <v>100</v>
      </c>
      <c r="G167" s="166">
        <v>99.9</v>
      </c>
      <c r="H167" s="178">
        <v>59.1934</v>
      </c>
      <c r="I167" s="168">
        <v>10.0527</v>
      </c>
      <c r="J167" s="181">
        <v>0.027</v>
      </c>
      <c r="K167" s="181">
        <f>$U167+2.2%</f>
        <v>0.037000000000000005</v>
      </c>
      <c r="L167" s="181">
        <f>$U167+3.4%</f>
        <v>0.049</v>
      </c>
      <c r="M167" s="181">
        <f>$U167+4.3%</f>
        <v>0.057999999999999996</v>
      </c>
      <c r="N167" s="181">
        <f>$U167+12.4%</f>
        <v>0.139</v>
      </c>
      <c r="O167" s="181">
        <f>$U167+14.7%</f>
        <v>0.16199999999999998</v>
      </c>
      <c r="P167" s="181"/>
      <c r="Q167" s="181"/>
      <c r="R167" s="181"/>
      <c r="S167" s="181"/>
      <c r="T167" s="182"/>
      <c r="U167" s="181">
        <v>0.015</v>
      </c>
    </row>
    <row r="168" spans="1:21" ht="12.75">
      <c r="A168" s="85" t="s">
        <v>1891</v>
      </c>
      <c r="B168" s="86" t="s">
        <v>1892</v>
      </c>
      <c r="C168" s="87" t="str">
        <f t="shared" si="4"/>
        <v>10 lat/a od dnia zakupu</v>
      </c>
      <c r="D168" s="87">
        <v>43282</v>
      </c>
      <c r="E168" s="87">
        <v>43312</v>
      </c>
      <c r="F168" s="88">
        <v>100</v>
      </c>
      <c r="G168" s="166">
        <v>99.9</v>
      </c>
      <c r="H168" s="178">
        <v>70.0234</v>
      </c>
      <c r="I168" s="168">
        <v>15.7527</v>
      </c>
      <c r="J168" s="181">
        <v>0.027</v>
      </c>
      <c r="K168" s="181">
        <f>$U168+2.4%</f>
        <v>0.039</v>
      </c>
      <c r="L168" s="181">
        <f>$U168+2.9%</f>
        <v>0.044</v>
      </c>
      <c r="M168" s="181">
        <f>$U168+4.7%</f>
        <v>0.062</v>
      </c>
      <c r="N168" s="181">
        <f>$U168+13.9%</f>
        <v>0.15400000000000003</v>
      </c>
      <c r="O168" s="181">
        <f>$U168+13%</f>
        <v>0.14500000000000002</v>
      </c>
      <c r="P168" s="181"/>
      <c r="Q168" s="181"/>
      <c r="R168" s="181"/>
      <c r="S168" s="181"/>
      <c r="T168" s="182"/>
      <c r="U168" s="181">
        <v>0.015</v>
      </c>
    </row>
    <row r="169" spans="1:21" ht="12.75">
      <c r="A169" s="85" t="s">
        <v>1905</v>
      </c>
      <c r="B169" s="86" t="s">
        <v>1906</v>
      </c>
      <c r="C169" s="87" t="str">
        <f t="shared" si="4"/>
        <v>10 lat/a od dnia zakupu</v>
      </c>
      <c r="D169" s="87">
        <v>43313</v>
      </c>
      <c r="E169" s="87">
        <v>43343</v>
      </c>
      <c r="F169" s="88">
        <v>100</v>
      </c>
      <c r="G169" s="166">
        <v>99.9</v>
      </c>
      <c r="H169" s="178">
        <v>63.4412</v>
      </c>
      <c r="I169" s="168">
        <v>15.665</v>
      </c>
      <c r="J169" s="181">
        <v>0.027</v>
      </c>
      <c r="K169" s="181">
        <f>$U169+2.6%</f>
        <v>0.041</v>
      </c>
      <c r="L169" s="181">
        <f>$U169+3.3%</f>
        <v>0.048</v>
      </c>
      <c r="M169" s="181">
        <f>$U169+4.4%</f>
        <v>0.059000000000000004</v>
      </c>
      <c r="N169" s="181">
        <f>$U169+15.5%</f>
        <v>0.16999999999999998</v>
      </c>
      <c r="O169" s="181">
        <f>$U169+11.5%</f>
        <v>0.13</v>
      </c>
      <c r="P169" s="181"/>
      <c r="Q169" s="181"/>
      <c r="R169" s="181"/>
      <c r="S169" s="181"/>
      <c r="T169" s="182"/>
      <c r="U169" s="181">
        <v>0.015</v>
      </c>
    </row>
    <row r="170" spans="1:21" ht="12.75">
      <c r="A170" s="85" t="s">
        <v>1919</v>
      </c>
      <c r="B170" s="86" t="s">
        <v>1920</v>
      </c>
      <c r="C170" s="87" t="str">
        <f t="shared" si="4"/>
        <v>10 lat/a od dnia zakupu</v>
      </c>
      <c r="D170" s="87">
        <v>43344</v>
      </c>
      <c r="E170" s="87">
        <v>43373</v>
      </c>
      <c r="F170" s="88">
        <v>100</v>
      </c>
      <c r="G170" s="166">
        <v>99.9</v>
      </c>
      <c r="H170" s="178">
        <v>63.7358</v>
      </c>
      <c r="I170" s="168">
        <v>15.0172</v>
      </c>
      <c r="J170" s="181">
        <v>0.027</v>
      </c>
      <c r="K170" s="181">
        <f>$U170+2.9%</f>
        <v>0.044</v>
      </c>
      <c r="L170" s="181">
        <f>$U170+3%</f>
        <v>0.045</v>
      </c>
      <c r="M170" s="181">
        <f>$U170+5%</f>
        <v>0.065</v>
      </c>
      <c r="N170" s="181">
        <f>$U170+15.6%</f>
        <v>0.17099999999999999</v>
      </c>
      <c r="O170" s="181">
        <f>$U170+10.8%</f>
        <v>0.12300000000000001</v>
      </c>
      <c r="P170" s="181"/>
      <c r="Q170" s="181"/>
      <c r="R170" s="181"/>
      <c r="S170" s="181"/>
      <c r="T170" s="182"/>
      <c r="U170" s="181">
        <v>0.015</v>
      </c>
    </row>
    <row r="171" spans="1:21" ht="12.75">
      <c r="A171" s="85" t="s">
        <v>1933</v>
      </c>
      <c r="B171" s="86" t="s">
        <v>1934</v>
      </c>
      <c r="C171" s="87" t="str">
        <f t="shared" si="4"/>
        <v>10 lat/a od dnia zakupu</v>
      </c>
      <c r="D171" s="87">
        <v>43374</v>
      </c>
      <c r="E171" s="87">
        <v>43404</v>
      </c>
      <c r="F171" s="88">
        <v>100</v>
      </c>
      <c r="G171" s="166">
        <v>99.5</v>
      </c>
      <c r="H171" s="178">
        <v>158.3798</v>
      </c>
      <c r="I171" s="168">
        <v>52.2926</v>
      </c>
      <c r="J171" s="181">
        <v>0.027</v>
      </c>
      <c r="K171" s="181">
        <f>$U171+2.9%</f>
        <v>0.044</v>
      </c>
      <c r="L171" s="181">
        <f>$U171+2.9%</f>
        <v>0.044</v>
      </c>
      <c r="M171" s="181">
        <f>$U171+5.5%</f>
        <v>0.07</v>
      </c>
      <c r="N171" s="181">
        <f>$U171+16.1%</f>
        <v>0.176</v>
      </c>
      <c r="O171" s="181">
        <f>$U171+10.1%</f>
        <v>0.11599999999999999</v>
      </c>
      <c r="P171" s="181"/>
      <c r="Q171" s="181"/>
      <c r="R171" s="181"/>
      <c r="S171" s="181"/>
      <c r="T171" s="182"/>
      <c r="U171" s="181">
        <v>0.015</v>
      </c>
    </row>
    <row r="172" spans="1:21" ht="12.75">
      <c r="A172" s="85" t="s">
        <v>1947</v>
      </c>
      <c r="B172" s="86" t="s">
        <v>1948</v>
      </c>
      <c r="C172" s="87" t="str">
        <f t="shared" si="4"/>
        <v>10 lat/a od dnia zakupu</v>
      </c>
      <c r="D172" s="87">
        <v>43405</v>
      </c>
      <c r="E172" s="87">
        <v>43434</v>
      </c>
      <c r="F172" s="88">
        <v>100</v>
      </c>
      <c r="G172" s="166">
        <v>99.9</v>
      </c>
      <c r="H172" s="178">
        <v>95.6596</v>
      </c>
      <c r="I172" s="168">
        <v>25.7827</v>
      </c>
      <c r="J172" s="181">
        <v>0.027</v>
      </c>
      <c r="K172" s="181">
        <f>$U172+2.6%</f>
        <v>0.041</v>
      </c>
      <c r="L172" s="181">
        <f>$U172+3.2%</f>
        <v>0.047</v>
      </c>
      <c r="M172" s="181">
        <f>$U172+5.9%</f>
        <v>0.07400000000000001</v>
      </c>
      <c r="N172" s="181">
        <f>$U172+17.2%</f>
        <v>0.187</v>
      </c>
      <c r="O172" s="181">
        <f>$U172+8.2%</f>
        <v>0.09699999999999999</v>
      </c>
      <c r="P172" s="181"/>
      <c r="Q172" s="181"/>
      <c r="R172" s="181"/>
      <c r="S172" s="181"/>
      <c r="T172" s="182"/>
      <c r="U172" s="181">
        <v>0.015</v>
      </c>
    </row>
    <row r="173" spans="1:21" ht="12.75">
      <c r="A173" s="90" t="s">
        <v>1961</v>
      </c>
      <c r="B173" s="91" t="s">
        <v>1962</v>
      </c>
      <c r="C173" s="92" t="str">
        <f t="shared" si="4"/>
        <v>10 lat/a od dnia zakupu</v>
      </c>
      <c r="D173" s="92">
        <v>43435</v>
      </c>
      <c r="E173" s="92">
        <v>43465</v>
      </c>
      <c r="F173" s="93">
        <v>100</v>
      </c>
      <c r="G173" s="170">
        <v>99.9</v>
      </c>
      <c r="H173" s="183">
        <v>99.2279</v>
      </c>
      <c r="I173" s="172">
        <v>26.8742</v>
      </c>
      <c r="J173" s="184">
        <v>0.027</v>
      </c>
      <c r="K173" s="184">
        <f>$U173+2.5%</f>
        <v>0.04</v>
      </c>
      <c r="L173" s="184">
        <f>$U173+3.1%</f>
        <v>0.046</v>
      </c>
      <c r="M173" s="181">
        <f>$U173+6.8%</f>
        <v>0.083</v>
      </c>
      <c r="N173" s="184">
        <f>$U173+17.9%</f>
        <v>0.194</v>
      </c>
      <c r="O173" s="184">
        <f>$U173+6.6%</f>
        <v>0.081</v>
      </c>
      <c r="P173" s="184"/>
      <c r="Q173" s="184"/>
      <c r="R173" s="184"/>
      <c r="S173" s="184"/>
      <c r="T173" s="185"/>
      <c r="U173" s="184">
        <v>0.015</v>
      </c>
    </row>
    <row r="174" spans="1:21" ht="12.75">
      <c r="A174" s="85" t="s">
        <v>1975</v>
      </c>
      <c r="B174" s="86" t="s">
        <v>1976</v>
      </c>
      <c r="C174" s="87" t="str">
        <f t="shared" si="4"/>
        <v>10 lat/a od dnia zakupu</v>
      </c>
      <c r="D174" s="87">
        <v>43466</v>
      </c>
      <c r="E174" s="87">
        <v>43496</v>
      </c>
      <c r="F174" s="88">
        <v>100</v>
      </c>
      <c r="G174" s="166">
        <v>99.9</v>
      </c>
      <c r="H174" s="178">
        <v>157.1076</v>
      </c>
      <c r="I174" s="168">
        <v>39.4628</v>
      </c>
      <c r="J174" s="181">
        <v>0.027</v>
      </c>
      <c r="K174" s="181">
        <f>$U174+2.6%</f>
        <v>0.041</v>
      </c>
      <c r="L174" s="181">
        <f>$U174+3%</f>
        <v>0.045</v>
      </c>
      <c r="M174" s="179">
        <f>$U174+7.8%</f>
        <v>0.093</v>
      </c>
      <c r="N174" s="179">
        <f>$U174+17.5%</f>
        <v>0.19</v>
      </c>
      <c r="O174" s="181">
        <f>$U174+6.6%</f>
        <v>0.081</v>
      </c>
      <c r="P174" s="181"/>
      <c r="Q174" s="181"/>
      <c r="R174" s="181"/>
      <c r="S174" s="181"/>
      <c r="T174" s="182"/>
      <c r="U174" s="181">
        <v>0.015</v>
      </c>
    </row>
    <row r="175" spans="1:21" ht="12.75">
      <c r="A175" s="85" t="s">
        <v>1989</v>
      </c>
      <c r="B175" s="86" t="s">
        <v>1990</v>
      </c>
      <c r="C175" s="87" t="str">
        <f t="shared" si="4"/>
        <v>10 lat/a od dnia zakupu</v>
      </c>
      <c r="D175" s="87">
        <v>43497</v>
      </c>
      <c r="E175" s="87">
        <v>43524</v>
      </c>
      <c r="F175" s="88">
        <v>100</v>
      </c>
      <c r="G175" s="166">
        <v>99.9</v>
      </c>
      <c r="H175" s="178">
        <v>102.2933</v>
      </c>
      <c r="I175" s="168">
        <v>28.1995</v>
      </c>
      <c r="J175" s="181">
        <v>0.027</v>
      </c>
      <c r="K175" s="181">
        <f>$U175+3.4%</f>
        <v>0.049</v>
      </c>
      <c r="L175" s="181">
        <f>$U175+2.4%</f>
        <v>0.039</v>
      </c>
      <c r="M175" s="181">
        <f>$U175+8.6%</f>
        <v>0.10099999999999999</v>
      </c>
      <c r="N175" s="181">
        <f>$U175+16.6%</f>
        <v>0.181</v>
      </c>
      <c r="O175" s="181">
        <f>$U175+6.2%</f>
        <v>0.077</v>
      </c>
      <c r="P175" s="181"/>
      <c r="Q175" s="181"/>
      <c r="R175" s="181"/>
      <c r="S175" s="181"/>
      <c r="T175" s="182"/>
      <c r="U175" s="181">
        <v>0.015</v>
      </c>
    </row>
    <row r="176" spans="1:21" ht="12.75">
      <c r="A176" s="85" t="s">
        <v>2003</v>
      </c>
      <c r="B176" s="86" t="s">
        <v>2004</v>
      </c>
      <c r="C176" s="87" t="s">
        <v>2009</v>
      </c>
      <c r="D176" s="87">
        <v>43525</v>
      </c>
      <c r="E176" s="87">
        <v>43555</v>
      </c>
      <c r="F176" s="88">
        <v>100</v>
      </c>
      <c r="G176" s="166">
        <v>99.9</v>
      </c>
      <c r="H176" s="178">
        <v>87.7714</v>
      </c>
      <c r="I176" s="168">
        <v>29.2004</v>
      </c>
      <c r="J176" s="181">
        <v>0.027</v>
      </c>
      <c r="K176" s="181">
        <f>$U176+4.4%</f>
        <v>0.059000000000000004</v>
      </c>
      <c r="L176" s="181">
        <f>$U176+2.7%</f>
        <v>0.042</v>
      </c>
      <c r="M176" s="181">
        <f>$U176+9.2%</f>
        <v>0.107</v>
      </c>
      <c r="N176" s="181">
        <f>$U176+17.2%</f>
        <v>0.187</v>
      </c>
      <c r="O176" s="181">
        <f>$U176+3.9%</f>
        <v>0.054</v>
      </c>
      <c r="P176" s="181"/>
      <c r="Q176" s="181"/>
      <c r="R176" s="181"/>
      <c r="S176" s="181"/>
      <c r="T176" s="182"/>
      <c r="U176" s="181">
        <v>0.015</v>
      </c>
    </row>
    <row r="177" spans="1:21" ht="12.75">
      <c r="A177" s="85" t="s">
        <v>2010</v>
      </c>
      <c r="B177" s="86" t="s">
        <v>2011</v>
      </c>
      <c r="C177" s="87" t="str">
        <f t="shared" si="4"/>
        <v>10 lat/a od dnia zakupu</v>
      </c>
      <c r="D177" s="87">
        <v>43556</v>
      </c>
      <c r="E177" s="87">
        <v>43585</v>
      </c>
      <c r="F177" s="88">
        <v>100</v>
      </c>
      <c r="G177" s="166">
        <v>99.5</v>
      </c>
      <c r="H177" s="178">
        <v>106.1105</v>
      </c>
      <c r="I177" s="168">
        <v>35.3634</v>
      </c>
      <c r="J177" s="181">
        <v>0.027</v>
      </c>
      <c r="K177" s="181">
        <f>$U177+4.7%</f>
        <v>0.062</v>
      </c>
      <c r="L177" s="181">
        <f>$U177+2.4%</f>
        <v>0.039</v>
      </c>
      <c r="M177" s="181">
        <f>$U177+8.5%</f>
        <v>0.1</v>
      </c>
      <c r="N177" s="181">
        <f>$U177+18.4%</f>
        <v>0.199</v>
      </c>
      <c r="O177" s="181">
        <f>$U177+2.8%</f>
        <v>0.043</v>
      </c>
      <c r="P177" s="181"/>
      <c r="Q177" s="181"/>
      <c r="R177" s="181"/>
      <c r="S177" s="181"/>
      <c r="T177" s="182"/>
      <c r="U177" s="181">
        <v>0.015</v>
      </c>
    </row>
    <row r="178" spans="1:21" ht="12.75">
      <c r="A178" s="85" t="s">
        <v>2038</v>
      </c>
      <c r="B178" s="86" t="s">
        <v>2039</v>
      </c>
      <c r="C178" s="87" t="str">
        <f t="shared" si="4"/>
        <v>10 lat/a od dnia zakupu</v>
      </c>
      <c r="D178" s="87">
        <v>43586</v>
      </c>
      <c r="E178" s="87">
        <v>43616</v>
      </c>
      <c r="F178" s="88">
        <v>100</v>
      </c>
      <c r="G178" s="166">
        <v>99.9</v>
      </c>
      <c r="H178" s="178">
        <v>106.1192</v>
      </c>
      <c r="I178" s="168">
        <v>16.4758</v>
      </c>
      <c r="J178" s="181">
        <v>0.027</v>
      </c>
      <c r="K178" s="181">
        <f>$U178+4.6%</f>
        <v>0.061</v>
      </c>
      <c r="L178" s="181">
        <f>$U178+3.2%</f>
        <v>0.047</v>
      </c>
      <c r="M178" s="181">
        <f>$U178+11%</f>
        <v>0.125</v>
      </c>
      <c r="N178" s="181">
        <f>$U178+16.1%</f>
        <v>0.176</v>
      </c>
      <c r="O178" s="181"/>
      <c r="P178" s="181"/>
      <c r="Q178" s="181"/>
      <c r="R178" s="181"/>
      <c r="S178" s="181"/>
      <c r="T178" s="182"/>
      <c r="U178" s="181">
        <v>0.015</v>
      </c>
    </row>
    <row r="179" spans="1:21" ht="12.75">
      <c r="A179" s="85" t="s">
        <v>2053</v>
      </c>
      <c r="B179" s="86" t="s">
        <v>2054</v>
      </c>
      <c r="C179" s="87" t="str">
        <f t="shared" si="4"/>
        <v>10 lat/a od dnia zakupu</v>
      </c>
      <c r="D179" s="87">
        <v>43617</v>
      </c>
      <c r="E179" s="87">
        <v>43646</v>
      </c>
      <c r="F179" s="88">
        <v>100</v>
      </c>
      <c r="G179" s="166">
        <v>99.9</v>
      </c>
      <c r="H179" s="178">
        <v>104.934</v>
      </c>
      <c r="I179" s="168">
        <v>39.2168</v>
      </c>
      <c r="J179" s="181">
        <v>0.027</v>
      </c>
      <c r="K179" s="181">
        <f>$U179+3.4%</f>
        <v>0.049</v>
      </c>
      <c r="L179" s="181">
        <f>$U179+4.3%</f>
        <v>0.057999999999999996</v>
      </c>
      <c r="M179" s="181">
        <f>$U179+12.4%</f>
        <v>0.139</v>
      </c>
      <c r="N179" s="181">
        <f>$U179+14.7%</f>
        <v>0.16199999999999998</v>
      </c>
      <c r="O179" s="181"/>
      <c r="P179" s="181"/>
      <c r="Q179" s="181"/>
      <c r="R179" s="181"/>
      <c r="S179" s="181"/>
      <c r="T179" s="182"/>
      <c r="U179" s="181">
        <v>0.015</v>
      </c>
    </row>
    <row r="180" spans="1:21" ht="12.75">
      <c r="A180" s="85" t="s">
        <v>2068</v>
      </c>
      <c r="B180" s="86" t="s">
        <v>2069</v>
      </c>
      <c r="C180" s="87" t="str">
        <f t="shared" si="4"/>
        <v>10 lat/a od dnia zakupu</v>
      </c>
      <c r="D180" s="87">
        <v>43647</v>
      </c>
      <c r="E180" s="87">
        <v>43677</v>
      </c>
      <c r="F180" s="88">
        <v>100</v>
      </c>
      <c r="G180" s="166">
        <v>99.9</v>
      </c>
      <c r="H180" s="178">
        <v>160.0174</v>
      </c>
      <c r="I180" s="168">
        <v>32.2698</v>
      </c>
      <c r="J180" s="181">
        <v>0.027</v>
      </c>
      <c r="K180" s="181">
        <f>$U180+2.9%</f>
        <v>0.044</v>
      </c>
      <c r="L180" s="181">
        <f>$U180+4.7%</f>
        <v>0.062</v>
      </c>
      <c r="M180" s="181">
        <f>$U180+13.9%</f>
        <v>0.15400000000000003</v>
      </c>
      <c r="N180" s="181">
        <f>$U180+13%</f>
        <v>0.14500000000000002</v>
      </c>
      <c r="O180" s="181"/>
      <c r="P180" s="181"/>
      <c r="Q180" s="181"/>
      <c r="R180" s="181"/>
      <c r="S180" s="181"/>
      <c r="T180" s="182"/>
      <c r="U180" s="181">
        <v>0.015</v>
      </c>
    </row>
    <row r="181" spans="1:21" ht="12.75">
      <c r="A181" s="85" t="s">
        <v>2083</v>
      </c>
      <c r="B181" s="86" t="s">
        <v>2081</v>
      </c>
      <c r="C181" s="87" t="str">
        <f t="shared" si="4"/>
        <v>10 lat/a od dnia zakupu</v>
      </c>
      <c r="D181" s="87">
        <v>43678</v>
      </c>
      <c r="E181" s="87">
        <v>43708</v>
      </c>
      <c r="F181" s="88">
        <v>100</v>
      </c>
      <c r="G181" s="166">
        <v>99.9</v>
      </c>
      <c r="H181" s="178">
        <v>169.6116</v>
      </c>
      <c r="I181" s="168">
        <v>20.2428</v>
      </c>
      <c r="J181" s="181">
        <v>0.027</v>
      </c>
      <c r="K181" s="181">
        <f>$U181+3.3%</f>
        <v>0.048</v>
      </c>
      <c r="L181" s="181">
        <f>$U181+4.4%</f>
        <v>0.059000000000000004</v>
      </c>
      <c r="M181" s="181">
        <f>$U181+15.5%</f>
        <v>0.16999999999999998</v>
      </c>
      <c r="N181" s="181">
        <f>$U181+11.5%</f>
        <v>0.13</v>
      </c>
      <c r="O181" s="181"/>
      <c r="P181" s="181"/>
      <c r="Q181" s="181"/>
      <c r="R181" s="181"/>
      <c r="S181" s="181"/>
      <c r="T181" s="182"/>
      <c r="U181" s="181">
        <v>0.015</v>
      </c>
    </row>
    <row r="182" spans="1:21" ht="12.75">
      <c r="A182" s="85" t="s">
        <v>2096</v>
      </c>
      <c r="B182" s="86" t="s">
        <v>2097</v>
      </c>
      <c r="C182" s="87" t="str">
        <f t="shared" si="4"/>
        <v>10 lat/a od dnia zakupu</v>
      </c>
      <c r="D182" s="87">
        <v>43709</v>
      </c>
      <c r="E182" s="87">
        <v>43738</v>
      </c>
      <c r="F182" s="88">
        <v>100</v>
      </c>
      <c r="G182" s="166">
        <v>99.9</v>
      </c>
      <c r="H182" s="178">
        <v>162.8461</v>
      </c>
      <c r="I182" s="168">
        <v>25.9027</v>
      </c>
      <c r="J182" s="181">
        <v>0.027</v>
      </c>
      <c r="K182" s="181">
        <f>$U182+3%</f>
        <v>0.045</v>
      </c>
      <c r="L182" s="181">
        <f>$U182+5%</f>
        <v>0.065</v>
      </c>
      <c r="M182" s="181">
        <f>$U182+15.6%</f>
        <v>0.17099999999999999</v>
      </c>
      <c r="N182" s="181">
        <f>$U182+10.8%</f>
        <v>0.12300000000000001</v>
      </c>
      <c r="O182" s="181"/>
      <c r="P182" s="181"/>
      <c r="Q182" s="181"/>
      <c r="R182" s="181"/>
      <c r="S182" s="181"/>
      <c r="T182" s="182"/>
      <c r="U182" s="181">
        <v>0.015</v>
      </c>
    </row>
    <row r="183" spans="1:21" ht="12.75">
      <c r="A183" s="85" t="s">
        <v>2110</v>
      </c>
      <c r="B183" s="86" t="s">
        <v>2111</v>
      </c>
      <c r="C183" s="87" t="str">
        <f t="shared" si="4"/>
        <v>10 lat/a od dnia zakupu</v>
      </c>
      <c r="D183" s="87">
        <v>43739</v>
      </c>
      <c r="E183" s="87">
        <v>43769</v>
      </c>
      <c r="F183" s="88">
        <v>100</v>
      </c>
      <c r="G183" s="166">
        <v>99.9</v>
      </c>
      <c r="H183" s="178">
        <v>183.3454</v>
      </c>
      <c r="I183" s="168">
        <v>26.0002</v>
      </c>
      <c r="J183" s="181">
        <v>0.027</v>
      </c>
      <c r="K183" s="181">
        <f>$U183+2.9%</f>
        <v>0.044</v>
      </c>
      <c r="L183" s="181">
        <f>$U183+5.5%</f>
        <v>0.07</v>
      </c>
      <c r="M183" s="181">
        <f>$U183+16.1%</f>
        <v>0.176</v>
      </c>
      <c r="N183" s="181">
        <f>$U183+10.1%</f>
        <v>0.11599999999999999</v>
      </c>
      <c r="O183" s="181"/>
      <c r="P183" s="181"/>
      <c r="Q183" s="181"/>
      <c r="R183" s="181"/>
      <c r="S183" s="181"/>
      <c r="T183" s="182"/>
      <c r="U183" s="181">
        <v>0.015</v>
      </c>
    </row>
    <row r="184" spans="1:21" ht="12.75">
      <c r="A184" s="85" t="s">
        <v>2124</v>
      </c>
      <c r="B184" s="86" t="s">
        <v>2125</v>
      </c>
      <c r="C184" s="87" t="str">
        <f t="shared" si="4"/>
        <v>10 lat/a od dnia zakupu</v>
      </c>
      <c r="D184" s="87">
        <v>43770</v>
      </c>
      <c r="E184" s="87">
        <v>43799</v>
      </c>
      <c r="F184" s="88">
        <v>100</v>
      </c>
      <c r="G184" s="166">
        <v>99.9</v>
      </c>
      <c r="H184" s="178">
        <v>169.2917</v>
      </c>
      <c r="I184" s="168">
        <v>25.882</v>
      </c>
      <c r="J184" s="181">
        <v>0.027</v>
      </c>
      <c r="K184" s="181">
        <f>$U184+3.2%</f>
        <v>0.047</v>
      </c>
      <c r="L184" s="181">
        <f>$U184+5.9%</f>
        <v>0.07400000000000001</v>
      </c>
      <c r="M184" s="181">
        <f>$U184+17.2%</f>
        <v>0.187</v>
      </c>
      <c r="N184" s="181">
        <f>$U184+8.2%</f>
        <v>0.09699999999999999</v>
      </c>
      <c r="O184" s="181"/>
      <c r="P184" s="181"/>
      <c r="Q184" s="181"/>
      <c r="R184" s="181"/>
      <c r="S184" s="181"/>
      <c r="T184" s="182"/>
      <c r="U184" s="181">
        <v>0.015</v>
      </c>
    </row>
    <row r="185" spans="1:21" ht="12.75">
      <c r="A185" s="90" t="s">
        <v>2138</v>
      </c>
      <c r="B185" s="91" t="s">
        <v>2139</v>
      </c>
      <c r="C185" s="92" t="str">
        <f t="shared" si="4"/>
        <v>10 lat/a od dnia zakupu</v>
      </c>
      <c r="D185" s="92">
        <v>43800</v>
      </c>
      <c r="E185" s="92">
        <v>43830</v>
      </c>
      <c r="F185" s="93">
        <v>100</v>
      </c>
      <c r="G185" s="170">
        <v>99.9</v>
      </c>
      <c r="H185" s="183">
        <v>187.3093</v>
      </c>
      <c r="I185" s="172">
        <v>37.2328</v>
      </c>
      <c r="J185" s="184">
        <v>0.027</v>
      </c>
      <c r="K185" s="184">
        <f>$U185+3.1%</f>
        <v>0.046</v>
      </c>
      <c r="L185" s="181">
        <f>$U185+6.8%</f>
        <v>0.083</v>
      </c>
      <c r="M185" s="184">
        <f>$U185+17.9%</f>
        <v>0.194</v>
      </c>
      <c r="N185" s="184">
        <f>$U185+6.6%</f>
        <v>0.081</v>
      </c>
      <c r="O185" s="184"/>
      <c r="P185" s="184"/>
      <c r="Q185" s="184"/>
      <c r="R185" s="184"/>
      <c r="S185" s="184"/>
      <c r="T185" s="185"/>
      <c r="U185" s="184">
        <v>0.015</v>
      </c>
    </row>
    <row r="186" spans="1:21" ht="12.75">
      <c r="A186" s="85" t="s">
        <v>2152</v>
      </c>
      <c r="B186" s="86" t="s">
        <v>2153</v>
      </c>
      <c r="C186" s="87" t="str">
        <f t="shared" si="4"/>
        <v>10 lat/a od dnia zakupu</v>
      </c>
      <c r="D186" s="87">
        <v>43831</v>
      </c>
      <c r="E186" s="87">
        <v>43861</v>
      </c>
      <c r="F186" s="88">
        <v>100</v>
      </c>
      <c r="G186" s="166">
        <v>99.9</v>
      </c>
      <c r="H186" s="178">
        <v>311.0421</v>
      </c>
      <c r="I186" s="168">
        <v>56.746</v>
      </c>
      <c r="J186" s="181">
        <v>0.027</v>
      </c>
      <c r="K186" s="181">
        <f>$U186+3%</f>
        <v>0.045</v>
      </c>
      <c r="L186" s="179">
        <f>$U186+7.8%</f>
        <v>0.093</v>
      </c>
      <c r="M186" s="179">
        <f>$U186+17.5%</f>
        <v>0.19</v>
      </c>
      <c r="N186" s="181">
        <f>$U186+6.6%</f>
        <v>0.081</v>
      </c>
      <c r="O186" s="181"/>
      <c r="P186" s="181"/>
      <c r="Q186" s="181"/>
      <c r="R186" s="181"/>
      <c r="S186" s="181"/>
      <c r="T186" s="182"/>
      <c r="U186" s="181">
        <v>0.015</v>
      </c>
    </row>
    <row r="187" spans="1:21" ht="12.75">
      <c r="A187" s="85" t="s">
        <v>2166</v>
      </c>
      <c r="B187" s="86" t="s">
        <v>2167</v>
      </c>
      <c r="C187" s="87" t="str">
        <f t="shared" si="4"/>
        <v>10 lat/a od dnia zakupu</v>
      </c>
      <c r="D187" s="87">
        <v>43862</v>
      </c>
      <c r="E187" s="87">
        <v>43889</v>
      </c>
      <c r="F187" s="88">
        <v>100</v>
      </c>
      <c r="G187" s="166">
        <v>99.9</v>
      </c>
      <c r="H187" s="178">
        <v>221.7705</v>
      </c>
      <c r="I187" s="168">
        <v>48.3834</v>
      </c>
      <c r="J187" s="181">
        <v>0.027</v>
      </c>
      <c r="K187" s="181">
        <f>$U187+2.4%</f>
        <v>0.039</v>
      </c>
      <c r="L187" s="181">
        <f>$U187+8.6%</f>
        <v>0.10099999999999999</v>
      </c>
      <c r="M187" s="181">
        <f>$U187+16.6%</f>
        <v>0.181</v>
      </c>
      <c r="N187" s="181">
        <f>$U187+6.2%</f>
        <v>0.077</v>
      </c>
      <c r="O187" s="181"/>
      <c r="P187" s="181"/>
      <c r="Q187" s="181"/>
      <c r="R187" s="181"/>
      <c r="S187" s="181"/>
      <c r="T187" s="182"/>
      <c r="U187" s="181">
        <v>0.015</v>
      </c>
    </row>
    <row r="188" spans="1:21" ht="12.75">
      <c r="A188" s="85" t="s">
        <v>2176</v>
      </c>
      <c r="B188" s="86" t="s">
        <v>2183</v>
      </c>
      <c r="C188" s="87" t="str">
        <f t="shared" si="4"/>
        <v>10 lat/a od dnia zakupu</v>
      </c>
      <c r="D188" s="87">
        <v>43891</v>
      </c>
      <c r="E188" s="87">
        <v>43921</v>
      </c>
      <c r="F188" s="88">
        <v>100</v>
      </c>
      <c r="G188" s="166">
        <v>99.9</v>
      </c>
      <c r="H188" s="178">
        <v>206.2067</v>
      </c>
      <c r="I188" s="168">
        <v>39.0442</v>
      </c>
      <c r="J188" s="181">
        <v>0.027</v>
      </c>
      <c r="K188" s="181">
        <f>$U188+2.7%</f>
        <v>0.042</v>
      </c>
      <c r="L188" s="181">
        <f>$U188+9.2%</f>
        <v>0.107</v>
      </c>
      <c r="M188" s="181">
        <f>$U188+17.2%</f>
        <v>0.187</v>
      </c>
      <c r="N188" s="181">
        <f>$U188+3.9%</f>
        <v>0.054</v>
      </c>
      <c r="O188" s="181"/>
      <c r="P188" s="181"/>
      <c r="Q188" s="181"/>
      <c r="R188" s="181"/>
      <c r="S188" s="181"/>
      <c r="T188" s="182"/>
      <c r="U188" s="181">
        <v>0.015</v>
      </c>
    </row>
    <row r="189" spans="1:21" ht="12.75">
      <c r="A189" s="85" t="s">
        <v>2194</v>
      </c>
      <c r="B189" s="86" t="s">
        <v>2195</v>
      </c>
      <c r="C189" s="87" t="str">
        <f t="shared" si="4"/>
        <v>10 lat/a od dnia zakupu</v>
      </c>
      <c r="D189" s="87">
        <v>43922</v>
      </c>
      <c r="E189" s="87">
        <v>43951</v>
      </c>
      <c r="F189" s="88">
        <v>100</v>
      </c>
      <c r="G189" s="166">
        <v>99.9</v>
      </c>
      <c r="H189" s="178">
        <v>626.2354</v>
      </c>
      <c r="I189" s="168">
        <v>13.5698</v>
      </c>
      <c r="J189" s="181">
        <v>0.027</v>
      </c>
      <c r="K189" s="181">
        <f>$U189+2.4%</f>
        <v>0.039</v>
      </c>
      <c r="L189" s="181">
        <f>$U189+8.5%</f>
        <v>0.1</v>
      </c>
      <c r="M189" s="181">
        <f>$U189+18.4%</f>
        <v>0.199</v>
      </c>
      <c r="N189" s="181">
        <f>$U189+2.8%</f>
        <v>0.043</v>
      </c>
      <c r="O189" s="181"/>
      <c r="P189" s="181"/>
      <c r="Q189" s="181"/>
      <c r="R189" s="181"/>
      <c r="S189" s="181"/>
      <c r="T189" s="182"/>
      <c r="U189" s="181">
        <v>0.015</v>
      </c>
    </row>
    <row r="190" spans="1:21" ht="12.75">
      <c r="A190" s="85" t="s">
        <v>2209</v>
      </c>
      <c r="B190" s="86" t="s">
        <v>2207</v>
      </c>
      <c r="C190" s="87" t="str">
        <f t="shared" si="4"/>
        <v>10 lat/a od dnia zakupu</v>
      </c>
      <c r="D190" s="87">
        <v>43952</v>
      </c>
      <c r="E190" s="87">
        <v>43982</v>
      </c>
      <c r="F190" s="88">
        <v>100</v>
      </c>
      <c r="G190" s="166">
        <v>99.9</v>
      </c>
      <c r="H190" s="178">
        <v>73.9814</v>
      </c>
      <c r="I190" s="168">
        <v>14.4782</v>
      </c>
      <c r="J190" s="181">
        <v>0.017</v>
      </c>
      <c r="K190" s="181">
        <f>$U190+3.2%</f>
        <v>0.042</v>
      </c>
      <c r="L190" s="181">
        <f>$U190+11%</f>
        <v>0.12</v>
      </c>
      <c r="M190" s="181">
        <f>$U190+16.1%</f>
        <v>0.171</v>
      </c>
      <c r="N190" s="181"/>
      <c r="O190" s="181"/>
      <c r="P190" s="181"/>
      <c r="Q190" s="181"/>
      <c r="R190" s="181"/>
      <c r="S190" s="181"/>
      <c r="T190" s="182"/>
      <c r="U190" s="181">
        <v>0.01</v>
      </c>
    </row>
    <row r="191" spans="1:21" ht="12.75">
      <c r="A191" s="85" t="s">
        <v>2222</v>
      </c>
      <c r="B191" s="86" t="s">
        <v>2223</v>
      </c>
      <c r="C191" s="87" t="str">
        <f t="shared" si="4"/>
        <v>10 lat/a od dnia zakupu</v>
      </c>
      <c r="D191" s="87">
        <v>43983</v>
      </c>
      <c r="E191" s="87">
        <v>44012</v>
      </c>
      <c r="F191" s="88">
        <v>100</v>
      </c>
      <c r="G191" s="166">
        <v>99.9</v>
      </c>
      <c r="H191" s="178">
        <v>85.3722</v>
      </c>
      <c r="I191" s="168">
        <v>9.6997</v>
      </c>
      <c r="J191" s="181">
        <v>0.017</v>
      </c>
      <c r="K191" s="181">
        <f>$U191+4.3%</f>
        <v>0.053</v>
      </c>
      <c r="L191" s="181">
        <f>$U191+12.4%</f>
        <v>0.134</v>
      </c>
      <c r="M191" s="181">
        <f>$U191+14.7%</f>
        <v>0.157</v>
      </c>
      <c r="N191" s="181"/>
      <c r="O191" s="181"/>
      <c r="P191" s="181"/>
      <c r="Q191" s="181"/>
      <c r="R191" s="181"/>
      <c r="S191" s="181"/>
      <c r="T191" s="182"/>
      <c r="U191" s="181">
        <v>0.01</v>
      </c>
    </row>
    <row r="192" spans="1:21" ht="12.75">
      <c r="A192" s="85" t="s">
        <v>2236</v>
      </c>
      <c r="B192" s="86" t="s">
        <v>2237</v>
      </c>
      <c r="C192" s="87" t="str">
        <f t="shared" si="4"/>
        <v>10 lat/a od dnia zakupu</v>
      </c>
      <c r="D192" s="87">
        <v>44013</v>
      </c>
      <c r="E192" s="87">
        <v>44043</v>
      </c>
      <c r="F192" s="88">
        <v>100</v>
      </c>
      <c r="G192" s="166">
        <v>99.9</v>
      </c>
      <c r="H192" s="178">
        <v>100.1349</v>
      </c>
      <c r="I192" s="168">
        <v>16.5917</v>
      </c>
      <c r="J192" s="181">
        <v>0.017</v>
      </c>
      <c r="K192" s="181">
        <f>$U192+4.7%</f>
        <v>0.057</v>
      </c>
      <c r="L192" s="181">
        <f>$U192+13.9%</f>
        <v>0.14900000000000002</v>
      </c>
      <c r="M192" s="181">
        <f>$U192+13%</f>
        <v>0.14</v>
      </c>
      <c r="N192" s="181"/>
      <c r="O192" s="181"/>
      <c r="P192" s="181"/>
      <c r="Q192" s="181"/>
      <c r="R192" s="181"/>
      <c r="S192" s="181"/>
      <c r="T192" s="182"/>
      <c r="U192" s="181">
        <v>0.01</v>
      </c>
    </row>
    <row r="193" spans="1:21" ht="12.75">
      <c r="A193" s="85" t="s">
        <v>2250</v>
      </c>
      <c r="B193" s="86" t="s">
        <v>2251</v>
      </c>
      <c r="C193" s="87" t="str">
        <f t="shared" si="4"/>
        <v>10 lat/a od dnia zakupu</v>
      </c>
      <c r="D193" s="87">
        <v>44044</v>
      </c>
      <c r="E193" s="87">
        <v>44074</v>
      </c>
      <c r="F193" s="88">
        <v>100</v>
      </c>
      <c r="G193" s="166">
        <v>99.9</v>
      </c>
      <c r="H193" s="178">
        <v>93.9771</v>
      </c>
      <c r="I193" s="168">
        <v>13.3775</v>
      </c>
      <c r="J193" s="181">
        <v>0.017</v>
      </c>
      <c r="K193" s="181">
        <f>$U193+4.4%</f>
        <v>0.054000000000000006</v>
      </c>
      <c r="L193" s="181">
        <f>$U193+15.5%</f>
        <v>0.165</v>
      </c>
      <c r="M193" s="181">
        <f>$U193+11.5%</f>
        <v>0.125</v>
      </c>
      <c r="N193" s="181"/>
      <c r="O193" s="181"/>
      <c r="P193" s="181"/>
      <c r="Q193" s="181"/>
      <c r="R193" s="181"/>
      <c r="S193" s="181"/>
      <c r="T193" s="182"/>
      <c r="U193" s="181">
        <v>0.01</v>
      </c>
    </row>
    <row r="194" spans="1:21" ht="12.75">
      <c r="A194" s="85" t="s">
        <v>2264</v>
      </c>
      <c r="B194" s="86" t="s">
        <v>2265</v>
      </c>
      <c r="C194" s="87" t="str">
        <f t="shared" si="4"/>
        <v>10 lat/a od dnia zakupu</v>
      </c>
      <c r="D194" s="87">
        <v>44075</v>
      </c>
      <c r="E194" s="87">
        <v>44104</v>
      </c>
      <c r="F194" s="88">
        <v>100</v>
      </c>
      <c r="G194" s="166">
        <v>99.9</v>
      </c>
      <c r="H194" s="178">
        <v>122.5079</v>
      </c>
      <c r="I194" s="168">
        <v>13.3602</v>
      </c>
      <c r="J194" s="181">
        <v>0.017</v>
      </c>
      <c r="K194" s="181">
        <f>$U194+5%</f>
        <v>0.060000000000000005</v>
      </c>
      <c r="L194" s="181">
        <f>$U194+15.6%</f>
        <v>0.166</v>
      </c>
      <c r="M194" s="181">
        <f>$U194+10.8%</f>
        <v>0.11800000000000001</v>
      </c>
      <c r="N194" s="181"/>
      <c r="O194" s="181"/>
      <c r="P194" s="181"/>
      <c r="Q194" s="181"/>
      <c r="R194" s="181"/>
      <c r="S194" s="181"/>
      <c r="T194" s="182"/>
      <c r="U194" s="181">
        <v>0.01</v>
      </c>
    </row>
    <row r="195" spans="1:21" ht="12.75">
      <c r="A195" s="85" t="s">
        <v>2278</v>
      </c>
      <c r="B195" s="86" t="s">
        <v>2279</v>
      </c>
      <c r="C195" s="87" t="str">
        <f t="shared" si="4"/>
        <v>10 lat/a od dnia zakupu</v>
      </c>
      <c r="D195" s="87">
        <v>44105</v>
      </c>
      <c r="E195" s="87">
        <v>44135</v>
      </c>
      <c r="F195" s="88">
        <v>100</v>
      </c>
      <c r="G195" s="166">
        <v>99.9</v>
      </c>
      <c r="H195" s="178">
        <v>139.4756</v>
      </c>
      <c r="I195" s="168">
        <v>25.0489</v>
      </c>
      <c r="J195" s="181">
        <v>0.017</v>
      </c>
      <c r="K195" s="181">
        <f>$U195+5.5%</f>
        <v>0.065</v>
      </c>
      <c r="L195" s="181">
        <f>$U195+16.1%</f>
        <v>0.171</v>
      </c>
      <c r="M195" s="181">
        <f>$U195+10.1%</f>
        <v>0.11099999999999999</v>
      </c>
      <c r="N195" s="181"/>
      <c r="O195" s="181"/>
      <c r="P195" s="181"/>
      <c r="Q195" s="181"/>
      <c r="R195" s="181"/>
      <c r="S195" s="181"/>
      <c r="T195" s="182"/>
      <c r="U195" s="181">
        <v>0.01</v>
      </c>
    </row>
    <row r="196" spans="1:21" ht="12.75">
      <c r="A196" s="85" t="s">
        <v>2292</v>
      </c>
      <c r="B196" s="86" t="s">
        <v>2293</v>
      </c>
      <c r="C196" s="87" t="str">
        <f t="shared" si="4"/>
        <v>10 lat/a od dnia zakupu</v>
      </c>
      <c r="D196" s="87">
        <v>44136</v>
      </c>
      <c r="E196" s="87">
        <v>44165</v>
      </c>
      <c r="F196" s="88">
        <v>100</v>
      </c>
      <c r="G196" s="166">
        <v>99.9</v>
      </c>
      <c r="H196" s="178">
        <v>116.1481</v>
      </c>
      <c r="I196" s="168">
        <v>18.0208</v>
      </c>
      <c r="J196" s="181">
        <v>0.017</v>
      </c>
      <c r="K196" s="181">
        <f>$U196+5.9%</f>
        <v>0.069</v>
      </c>
      <c r="L196" s="181">
        <f>$U196+17.2%</f>
        <v>0.182</v>
      </c>
      <c r="M196" s="181">
        <f>$U196+8.2%</f>
        <v>0.09199999999999998</v>
      </c>
      <c r="N196" s="181"/>
      <c r="O196" s="181"/>
      <c r="P196" s="181"/>
      <c r="Q196" s="181"/>
      <c r="R196" s="181"/>
      <c r="S196" s="181"/>
      <c r="T196" s="182"/>
      <c r="U196" s="181">
        <v>0.01</v>
      </c>
    </row>
    <row r="197" spans="1:21" s="25" customFormat="1" ht="12.75">
      <c r="A197" s="90" t="s">
        <v>2306</v>
      </c>
      <c r="B197" s="91" t="s">
        <v>2307</v>
      </c>
      <c r="C197" s="92" t="str">
        <f t="shared" si="4"/>
        <v>10 lat/a od dnia zakupu</v>
      </c>
      <c r="D197" s="92">
        <v>44166</v>
      </c>
      <c r="E197" s="92">
        <v>44196</v>
      </c>
      <c r="F197" s="93">
        <v>100</v>
      </c>
      <c r="G197" s="170">
        <v>99.9</v>
      </c>
      <c r="H197" s="183">
        <v>168.9782</v>
      </c>
      <c r="I197" s="172">
        <v>25.7691</v>
      </c>
      <c r="J197" s="184">
        <v>0.017</v>
      </c>
      <c r="K197" s="181">
        <f>$U197+6.8%</f>
        <v>0.078</v>
      </c>
      <c r="L197" s="181">
        <f>$U197+17.9%</f>
        <v>0.189</v>
      </c>
      <c r="M197" s="184">
        <f>$U197+6.6%</f>
        <v>0.076</v>
      </c>
      <c r="N197" s="184"/>
      <c r="O197" s="184"/>
      <c r="P197" s="184"/>
      <c r="Q197" s="184"/>
      <c r="R197" s="184"/>
      <c r="S197" s="184"/>
      <c r="T197" s="185"/>
      <c r="U197" s="184">
        <v>0.01</v>
      </c>
    </row>
    <row r="198" spans="1:21" s="25" customFormat="1" ht="12.75">
      <c r="A198" s="113" t="s">
        <v>2316</v>
      </c>
      <c r="B198" s="114" t="s">
        <v>2323</v>
      </c>
      <c r="C198" s="136" t="str">
        <f t="shared" si="4"/>
        <v>10 lat/a od dnia zakupu</v>
      </c>
      <c r="D198" s="136">
        <v>44197</v>
      </c>
      <c r="E198" s="136">
        <v>44227</v>
      </c>
      <c r="F198" s="137">
        <v>100</v>
      </c>
      <c r="G198" s="175">
        <v>99.9</v>
      </c>
      <c r="H198" s="188">
        <v>263.2987</v>
      </c>
      <c r="I198" s="177">
        <v>39.9459</v>
      </c>
      <c r="J198" s="179">
        <v>0.017</v>
      </c>
      <c r="K198" s="179">
        <f>$U198+7.8%</f>
        <v>0.088</v>
      </c>
      <c r="L198" s="179">
        <f>$U198+17.5%</f>
        <v>0.185</v>
      </c>
      <c r="M198" s="179">
        <f>$U198+6.6%</f>
        <v>0.076</v>
      </c>
      <c r="N198" s="179"/>
      <c r="O198" s="179"/>
      <c r="P198" s="179"/>
      <c r="Q198" s="179"/>
      <c r="R198" s="179"/>
      <c r="S198" s="179"/>
      <c r="T198" s="180"/>
      <c r="U198" s="179">
        <v>0.01</v>
      </c>
    </row>
    <row r="199" spans="1:21" ht="12.75">
      <c r="A199" s="85" t="s">
        <v>2334</v>
      </c>
      <c r="B199" s="86" t="s">
        <v>2335</v>
      </c>
      <c r="C199" s="87" t="str">
        <f t="shared" si="4"/>
        <v>10 lat/a od dnia zakupu</v>
      </c>
      <c r="D199" s="87">
        <v>44228</v>
      </c>
      <c r="E199" s="87">
        <v>44255</v>
      </c>
      <c r="F199" s="88">
        <v>100</v>
      </c>
      <c r="G199" s="166">
        <v>99.9</v>
      </c>
      <c r="H199" s="178">
        <v>232.4387</v>
      </c>
      <c r="I199" s="168">
        <v>56.2851</v>
      </c>
      <c r="J199" s="181">
        <v>0.017</v>
      </c>
      <c r="K199" s="181">
        <f>$U199+8.6%</f>
        <v>0.09599999999999999</v>
      </c>
      <c r="L199" s="181">
        <f>$U199+16.6%</f>
        <v>0.17600000000000002</v>
      </c>
      <c r="M199" s="181">
        <f>$U199+6.2%</f>
        <v>0.072</v>
      </c>
      <c r="N199" s="181"/>
      <c r="O199" s="181"/>
      <c r="P199" s="181"/>
      <c r="Q199" s="181"/>
      <c r="R199" s="181"/>
      <c r="S199" s="181"/>
      <c r="T199" s="182"/>
      <c r="U199" s="181">
        <v>0.01</v>
      </c>
    </row>
    <row r="200" spans="1:21" ht="12.75">
      <c r="A200" s="85" t="s">
        <v>2348</v>
      </c>
      <c r="B200" s="86" t="s">
        <v>2349</v>
      </c>
      <c r="C200" s="87" t="str">
        <f t="shared" si="4"/>
        <v>10 lat/a od dnia zakupu</v>
      </c>
      <c r="D200" s="87">
        <v>44256</v>
      </c>
      <c r="E200" s="87">
        <v>44286</v>
      </c>
      <c r="F200" s="88">
        <v>100</v>
      </c>
      <c r="G200" s="166">
        <v>99.9</v>
      </c>
      <c r="H200" s="178">
        <v>243.6928</v>
      </c>
      <c r="I200" s="168">
        <v>40.427</v>
      </c>
      <c r="J200" s="181">
        <v>0.017</v>
      </c>
      <c r="K200" s="181">
        <f>$U200+9.2%</f>
        <v>0.102</v>
      </c>
      <c r="L200" s="181">
        <f>$U200+17.2%</f>
        <v>0.182</v>
      </c>
      <c r="M200" s="181">
        <f>$U200+3.9%</f>
        <v>0.049</v>
      </c>
      <c r="N200" s="181"/>
      <c r="O200" s="181"/>
      <c r="P200" s="181"/>
      <c r="Q200" s="181"/>
      <c r="R200" s="181"/>
      <c r="S200" s="181"/>
      <c r="T200" s="182"/>
      <c r="U200" s="181">
        <v>0.01</v>
      </c>
    </row>
    <row r="201" spans="1:21" ht="12.75">
      <c r="A201" s="85" t="s">
        <v>2362</v>
      </c>
      <c r="B201" s="86" t="s">
        <v>2363</v>
      </c>
      <c r="C201" s="87" t="str">
        <f t="shared" si="4"/>
        <v>10 lat/a od dnia zakupu</v>
      </c>
      <c r="D201" s="87">
        <v>44287</v>
      </c>
      <c r="E201" s="87">
        <v>44316</v>
      </c>
      <c r="F201" s="88">
        <v>100</v>
      </c>
      <c r="G201" s="166">
        <v>99.9</v>
      </c>
      <c r="H201" s="178">
        <v>358.1656</v>
      </c>
      <c r="I201" s="168">
        <v>27.903</v>
      </c>
      <c r="J201" s="181">
        <v>0.017</v>
      </c>
      <c r="K201" s="181">
        <f>$U201+8.5%</f>
        <v>0.095</v>
      </c>
      <c r="L201" s="181">
        <f>$U201+18.4%</f>
        <v>0.194</v>
      </c>
      <c r="M201" s="181">
        <f>$U201+2.8%</f>
        <v>0.038</v>
      </c>
      <c r="N201" s="181"/>
      <c r="O201" s="181"/>
      <c r="P201" s="181"/>
      <c r="Q201" s="181"/>
      <c r="R201" s="181"/>
      <c r="S201" s="181"/>
      <c r="T201" s="182"/>
      <c r="U201" s="181">
        <v>0.01</v>
      </c>
    </row>
    <row r="202" spans="1:21" ht="12.75">
      <c r="A202" s="85" t="s">
        <v>2376</v>
      </c>
      <c r="B202" s="86" t="s">
        <v>2377</v>
      </c>
      <c r="C202" s="87" t="str">
        <f t="shared" si="4"/>
        <v>10 lat/a od dnia zakupu</v>
      </c>
      <c r="D202" s="87">
        <v>44317</v>
      </c>
      <c r="E202" s="87">
        <v>44347</v>
      </c>
      <c r="F202" s="88">
        <v>100</v>
      </c>
      <c r="G202" s="166">
        <v>99.9</v>
      </c>
      <c r="H202" s="178">
        <v>212.0122</v>
      </c>
      <c r="I202" s="168">
        <v>29.9905</v>
      </c>
      <c r="J202" s="181">
        <v>0.017</v>
      </c>
      <c r="K202" s="181">
        <f>$U202+11%</f>
        <v>0.12</v>
      </c>
      <c r="L202" s="181">
        <f>$U202+16.1%</f>
        <v>0.171</v>
      </c>
      <c r="M202" s="181"/>
      <c r="N202" s="181"/>
      <c r="O202" s="181"/>
      <c r="P202" s="181"/>
      <c r="Q202" s="181"/>
      <c r="R202" s="181"/>
      <c r="S202" s="181"/>
      <c r="T202" s="182"/>
      <c r="U202" s="181">
        <v>0.01</v>
      </c>
    </row>
    <row r="203" spans="1:21" ht="12.75">
      <c r="A203" s="85" t="s">
        <v>2390</v>
      </c>
      <c r="B203" s="86" t="s">
        <v>2391</v>
      </c>
      <c r="C203" s="87" t="str">
        <f t="shared" si="4"/>
        <v>10 lat/a od dnia zakupu</v>
      </c>
      <c r="D203" s="87">
        <v>44348</v>
      </c>
      <c r="E203" s="87">
        <v>44377</v>
      </c>
      <c r="F203" s="88">
        <v>100</v>
      </c>
      <c r="G203" s="166">
        <v>99.9</v>
      </c>
      <c r="H203" s="178">
        <v>179.581</v>
      </c>
      <c r="I203" s="168">
        <v>32.7242</v>
      </c>
      <c r="J203" s="181">
        <v>0.017</v>
      </c>
      <c r="K203" s="181">
        <f>$U203+12.4%</f>
        <v>0.134</v>
      </c>
      <c r="L203" s="181">
        <f>$U203+14.7%</f>
        <v>0.157</v>
      </c>
      <c r="M203" s="181"/>
      <c r="N203" s="181"/>
      <c r="O203" s="181"/>
      <c r="P203" s="181"/>
      <c r="Q203" s="181"/>
      <c r="R203" s="181"/>
      <c r="S203" s="181"/>
      <c r="T203" s="182"/>
      <c r="U203" s="181">
        <v>0.01</v>
      </c>
    </row>
    <row r="204" spans="1:21" ht="12.75">
      <c r="A204" s="85" t="s">
        <v>2404</v>
      </c>
      <c r="B204" s="86" t="s">
        <v>2405</v>
      </c>
      <c r="C204" s="87" t="str">
        <f t="shared" si="4"/>
        <v>10 lat/a od dnia zakupu</v>
      </c>
      <c r="D204" s="87">
        <v>44378</v>
      </c>
      <c r="E204" s="87">
        <v>44408</v>
      </c>
      <c r="F204" s="88">
        <v>100</v>
      </c>
      <c r="G204" s="166">
        <v>99.9</v>
      </c>
      <c r="H204" s="178">
        <v>234.4388</v>
      </c>
      <c r="I204" s="168">
        <v>39.5853</v>
      </c>
      <c r="J204" s="181">
        <v>0.017</v>
      </c>
      <c r="K204" s="181">
        <f>$U204+13.9%</f>
        <v>0.14900000000000002</v>
      </c>
      <c r="L204" s="181">
        <f>$U204+13%</f>
        <v>0.14</v>
      </c>
      <c r="M204" s="181"/>
      <c r="N204" s="181"/>
      <c r="O204" s="181"/>
      <c r="P204" s="181"/>
      <c r="Q204" s="181"/>
      <c r="R204" s="181"/>
      <c r="S204" s="181"/>
      <c r="T204" s="182"/>
      <c r="U204" s="181">
        <v>0.01</v>
      </c>
    </row>
    <row r="205" spans="1:21" ht="12.75">
      <c r="A205" s="85" t="s">
        <v>2414</v>
      </c>
      <c r="B205" s="86" t="s">
        <v>2421</v>
      </c>
      <c r="C205" s="87" t="str">
        <f t="shared" si="4"/>
        <v>10 lat/a od dnia zakupu</v>
      </c>
      <c r="D205" s="87">
        <v>44409</v>
      </c>
      <c r="E205" s="87">
        <v>44439</v>
      </c>
      <c r="F205" s="88">
        <v>100</v>
      </c>
      <c r="G205" s="166">
        <v>99.9</v>
      </c>
      <c r="H205" s="178">
        <v>237.122</v>
      </c>
      <c r="I205" s="168">
        <v>47.2629</v>
      </c>
      <c r="J205" s="181">
        <v>0.017</v>
      </c>
      <c r="K205" s="181">
        <f>$U205+15.5%</f>
        <v>0.165</v>
      </c>
      <c r="L205" s="181">
        <f>$U205+11.5%</f>
        <v>0.125</v>
      </c>
      <c r="M205" s="181"/>
      <c r="N205" s="181"/>
      <c r="O205" s="181"/>
      <c r="P205" s="181"/>
      <c r="Q205" s="181"/>
      <c r="R205" s="181"/>
      <c r="S205" s="181"/>
      <c r="T205" s="182"/>
      <c r="U205" s="181">
        <v>0.01</v>
      </c>
    </row>
    <row r="206" spans="1:21" ht="12.75">
      <c r="A206" s="85" t="s">
        <v>2432</v>
      </c>
      <c r="B206" s="86" t="s">
        <v>2433</v>
      </c>
      <c r="C206" s="87" t="str">
        <f t="shared" si="4"/>
        <v>10 lat/a od dnia zakupu</v>
      </c>
      <c r="D206" s="87">
        <v>44440</v>
      </c>
      <c r="E206" s="87">
        <v>44469</v>
      </c>
      <c r="F206" s="88">
        <v>100</v>
      </c>
      <c r="G206" s="166">
        <v>99.9</v>
      </c>
      <c r="H206" s="178">
        <v>229.8685</v>
      </c>
      <c r="I206" s="168">
        <v>35.4537</v>
      </c>
      <c r="J206" s="181">
        <v>0.017</v>
      </c>
      <c r="K206" s="181">
        <f>$U206+15.6%</f>
        <v>0.166</v>
      </c>
      <c r="L206" s="181">
        <f>$U206+10.8%</f>
        <v>0.11800000000000001</v>
      </c>
      <c r="M206" s="181"/>
      <c r="N206" s="181"/>
      <c r="O206" s="181"/>
      <c r="P206" s="181"/>
      <c r="Q206" s="181"/>
      <c r="R206" s="181"/>
      <c r="S206" s="181"/>
      <c r="T206" s="182"/>
      <c r="U206" s="181">
        <v>0.01</v>
      </c>
    </row>
    <row r="207" spans="1:21" ht="12.75">
      <c r="A207" s="85" t="s">
        <v>2446</v>
      </c>
      <c r="B207" s="86" t="s">
        <v>2447</v>
      </c>
      <c r="C207" s="87" t="str">
        <f t="shared" si="4"/>
        <v>10 lat/a od dnia zakupu</v>
      </c>
      <c r="D207" s="87">
        <v>44470</v>
      </c>
      <c r="E207" s="87">
        <v>44500</v>
      </c>
      <c r="F207" s="88">
        <v>100</v>
      </c>
      <c r="G207" s="166">
        <v>99.9</v>
      </c>
      <c r="H207" s="178">
        <v>230.4432</v>
      </c>
      <c r="I207" s="168">
        <v>42.3863</v>
      </c>
      <c r="J207" s="181">
        <v>0.017</v>
      </c>
      <c r="K207" s="181">
        <f>$U207+16.1%</f>
        <v>0.171</v>
      </c>
      <c r="L207" s="181">
        <f>$U207+10.1%</f>
        <v>0.11099999999999999</v>
      </c>
      <c r="M207" s="181"/>
      <c r="N207" s="181"/>
      <c r="O207" s="181"/>
      <c r="P207" s="181"/>
      <c r="Q207" s="181"/>
      <c r="R207" s="181"/>
      <c r="S207" s="181"/>
      <c r="T207" s="182"/>
      <c r="U207" s="181">
        <v>0.01</v>
      </c>
    </row>
    <row r="208" spans="1:21" ht="12.75">
      <c r="A208" s="85" t="s">
        <v>2456</v>
      </c>
      <c r="B208" s="86" t="s">
        <v>2463</v>
      </c>
      <c r="C208" s="87" t="str">
        <f t="shared" si="4"/>
        <v>10 lat/a od dnia zakupu</v>
      </c>
      <c r="D208" s="87">
        <v>44501</v>
      </c>
      <c r="E208" s="87">
        <v>44530</v>
      </c>
      <c r="F208" s="88">
        <v>100</v>
      </c>
      <c r="G208" s="166">
        <v>99.9</v>
      </c>
      <c r="H208" s="178">
        <v>274.7246</v>
      </c>
      <c r="I208" s="168">
        <v>72.7109</v>
      </c>
      <c r="J208" s="181">
        <v>0.017</v>
      </c>
      <c r="K208" s="181">
        <f>$U208+17.2%</f>
        <v>0.182</v>
      </c>
      <c r="L208" s="181">
        <f>$U208+8.2%</f>
        <v>0.09199999999999998</v>
      </c>
      <c r="M208" s="181"/>
      <c r="N208" s="181"/>
      <c r="O208" s="181"/>
      <c r="P208" s="181"/>
      <c r="Q208" s="181"/>
      <c r="R208" s="181"/>
      <c r="S208" s="181"/>
      <c r="T208" s="182"/>
      <c r="U208" s="181">
        <v>0.01</v>
      </c>
    </row>
    <row r="209" spans="1:21" s="25" customFormat="1" ht="12.75">
      <c r="A209" s="90" t="s">
        <v>2474</v>
      </c>
      <c r="B209" s="91" t="s">
        <v>2475</v>
      </c>
      <c r="C209" s="92" t="str">
        <f t="shared" si="4"/>
        <v>10 lat/a od dnia zakupu</v>
      </c>
      <c r="D209" s="92">
        <v>44531</v>
      </c>
      <c r="E209" s="92">
        <v>44561</v>
      </c>
      <c r="F209" s="93">
        <v>100</v>
      </c>
      <c r="G209" s="170">
        <v>99.9</v>
      </c>
      <c r="H209" s="183">
        <v>346.2217</v>
      </c>
      <c r="I209" s="172">
        <v>39.8149</v>
      </c>
      <c r="J209" s="184">
        <v>0.017</v>
      </c>
      <c r="K209" s="181">
        <f>$U209+17.9%</f>
        <v>0.189</v>
      </c>
      <c r="L209" s="184">
        <f>$U209+6.6%</f>
        <v>0.076</v>
      </c>
      <c r="M209" s="184"/>
      <c r="N209" s="184"/>
      <c r="O209" s="184"/>
      <c r="P209" s="184"/>
      <c r="Q209" s="184"/>
      <c r="R209" s="184"/>
      <c r="S209" s="184"/>
      <c r="T209" s="185"/>
      <c r="U209" s="184">
        <v>0.01</v>
      </c>
    </row>
    <row r="210" spans="1:21" s="25" customFormat="1" ht="12.75">
      <c r="A210" s="113" t="s">
        <v>2489</v>
      </c>
      <c r="B210" s="114" t="s">
        <v>2488</v>
      </c>
      <c r="C210" s="136" t="str">
        <f t="shared" si="4"/>
        <v>10 lat/a od dnia zakupu</v>
      </c>
      <c r="D210" s="136">
        <v>44562</v>
      </c>
      <c r="E210" s="136">
        <v>44592</v>
      </c>
      <c r="F210" s="137">
        <v>100</v>
      </c>
      <c r="G210" s="175">
        <v>99.9</v>
      </c>
      <c r="H210" s="188">
        <v>367.4415</v>
      </c>
      <c r="I210" s="177">
        <v>73.9409</v>
      </c>
      <c r="J210" s="179">
        <v>0.017</v>
      </c>
      <c r="K210" s="179">
        <f>$U210+17.5%</f>
        <v>0.185</v>
      </c>
      <c r="L210" s="179">
        <f>$U210+6.6%</f>
        <v>0.076</v>
      </c>
      <c r="M210" s="179"/>
      <c r="N210" s="179"/>
      <c r="O210" s="179"/>
      <c r="P210" s="179"/>
      <c r="Q210" s="179"/>
      <c r="R210" s="179"/>
      <c r="S210" s="179"/>
      <c r="T210" s="180"/>
      <c r="U210" s="179">
        <v>0.01</v>
      </c>
    </row>
    <row r="211" spans="1:21" ht="12.75">
      <c r="A211" s="85" t="s">
        <v>2502</v>
      </c>
      <c r="B211" s="86" t="s">
        <v>2503</v>
      </c>
      <c r="C211" s="87" t="str">
        <f t="shared" si="4"/>
        <v>10 lat/a od dnia zakupu</v>
      </c>
      <c r="D211" s="87">
        <v>44593</v>
      </c>
      <c r="E211" s="87">
        <v>44620</v>
      </c>
      <c r="F211" s="88">
        <v>100</v>
      </c>
      <c r="G211" s="166">
        <v>99.9</v>
      </c>
      <c r="H211" s="178">
        <v>628.1533</v>
      </c>
      <c r="I211" s="168">
        <v>74.5921</v>
      </c>
      <c r="J211" s="181">
        <v>0.022</v>
      </c>
      <c r="K211" s="181">
        <f>$U211+16.6%</f>
        <v>0.17850000000000002</v>
      </c>
      <c r="L211" s="181">
        <f>$U211+6.2%</f>
        <v>0.0745</v>
      </c>
      <c r="M211" s="181"/>
      <c r="N211" s="181"/>
      <c r="O211" s="181"/>
      <c r="P211" s="181"/>
      <c r="Q211" s="181"/>
      <c r="R211" s="181"/>
      <c r="S211" s="181"/>
      <c r="T211" s="182"/>
      <c r="U211" s="181">
        <v>0.0125</v>
      </c>
    </row>
    <row r="212" spans="1:21" ht="12.75">
      <c r="A212" s="85" t="s">
        <v>2519</v>
      </c>
      <c r="B212" s="86" t="s">
        <v>2520</v>
      </c>
      <c r="C212" s="87" t="str">
        <f t="shared" si="4"/>
        <v>10 lat/a od dnia zakupu</v>
      </c>
      <c r="D212" s="87">
        <v>44621</v>
      </c>
      <c r="E212" s="87">
        <v>44651</v>
      </c>
      <c r="F212" s="88">
        <v>100</v>
      </c>
      <c r="G212" s="166">
        <v>99.9</v>
      </c>
      <c r="H212" s="178">
        <v>260.4348</v>
      </c>
      <c r="I212" s="168">
        <v>37.2155</v>
      </c>
      <c r="J212" s="181">
        <v>0.022</v>
      </c>
      <c r="K212" s="181">
        <f>$U212+17.2%</f>
        <v>0.1845</v>
      </c>
      <c r="L212" s="181">
        <f>$U212+3.9%</f>
        <v>0.051500000000000004</v>
      </c>
      <c r="M212" s="181"/>
      <c r="N212" s="181"/>
      <c r="O212" s="181"/>
      <c r="P212" s="181"/>
      <c r="Q212" s="181"/>
      <c r="R212" s="181"/>
      <c r="S212" s="181"/>
      <c r="T212" s="182"/>
      <c r="U212" s="181">
        <v>0.0125</v>
      </c>
    </row>
    <row r="213" spans="1:21" ht="12.75">
      <c r="A213" s="85" t="s">
        <v>2533</v>
      </c>
      <c r="B213" s="86" t="s">
        <v>2534</v>
      </c>
      <c r="C213" s="87" t="str">
        <f t="shared" si="4"/>
        <v>10 lat/a od dnia zakupu</v>
      </c>
      <c r="D213" s="87">
        <v>44652</v>
      </c>
      <c r="E213" s="87">
        <v>44681</v>
      </c>
      <c r="F213" s="88">
        <v>100</v>
      </c>
      <c r="G213" s="166">
        <v>99.9</v>
      </c>
      <c r="H213" s="178">
        <v>418.1363</v>
      </c>
      <c r="I213" s="168">
        <v>46.6801</v>
      </c>
      <c r="J213" s="181">
        <v>0.027</v>
      </c>
      <c r="K213" s="181">
        <f>$U213+18.4%</f>
        <v>0.1965</v>
      </c>
      <c r="L213" s="181">
        <f>$U213+2.8%</f>
        <v>0.040499999999999994</v>
      </c>
      <c r="M213" s="181"/>
      <c r="N213" s="181"/>
      <c r="O213" s="181"/>
      <c r="P213" s="181"/>
      <c r="Q213" s="181"/>
      <c r="R213" s="181"/>
      <c r="S213" s="181"/>
      <c r="T213" s="182"/>
      <c r="U213" s="181">
        <v>0.0125</v>
      </c>
    </row>
    <row r="214" spans="1:21" ht="12.75">
      <c r="A214" s="85" t="s">
        <v>2547</v>
      </c>
      <c r="B214" s="86" t="s">
        <v>2548</v>
      </c>
      <c r="C214" s="87" t="str">
        <f t="shared" si="4"/>
        <v>10 lat/a od dnia zakupu</v>
      </c>
      <c r="D214" s="87">
        <v>44682</v>
      </c>
      <c r="E214" s="87">
        <v>44712</v>
      </c>
      <c r="F214" s="88">
        <v>100</v>
      </c>
      <c r="G214" s="166">
        <v>99.9</v>
      </c>
      <c r="H214" s="178">
        <v>463.9832</v>
      </c>
      <c r="I214" s="168">
        <v>78.8953</v>
      </c>
      <c r="J214" s="181">
        <v>0.037</v>
      </c>
      <c r="K214" s="181">
        <f>$U214+16.1%</f>
        <v>0.17350000000000002</v>
      </c>
      <c r="L214" s="181"/>
      <c r="M214" s="181"/>
      <c r="N214" s="181"/>
      <c r="O214" s="181"/>
      <c r="P214" s="181"/>
      <c r="Q214" s="181"/>
      <c r="R214" s="181"/>
      <c r="S214" s="181"/>
      <c r="T214" s="182"/>
      <c r="U214" s="181">
        <v>0.0125</v>
      </c>
    </row>
    <row r="215" spans="1:21" ht="12.75">
      <c r="A215" s="85" t="s">
        <v>2624</v>
      </c>
      <c r="B215" s="86" t="s">
        <v>2625</v>
      </c>
      <c r="C215" s="87" t="str">
        <f t="shared" si="4"/>
        <v>10 lat/a od dnia zakupu</v>
      </c>
      <c r="D215" s="87">
        <v>44713</v>
      </c>
      <c r="E215" s="87">
        <v>44742</v>
      </c>
      <c r="F215" s="88">
        <v>100</v>
      </c>
      <c r="G215" s="166">
        <v>99.9</v>
      </c>
      <c r="H215" s="178">
        <v>963.9847</v>
      </c>
      <c r="I215" s="168">
        <v>57.1688</v>
      </c>
      <c r="J215" s="181">
        <v>0.0575</v>
      </c>
      <c r="K215" s="181">
        <f>$U215+14.7%</f>
        <v>0.1595</v>
      </c>
      <c r="L215" s="181"/>
      <c r="M215" s="181"/>
      <c r="N215" s="181"/>
      <c r="O215" s="181"/>
      <c r="P215" s="181"/>
      <c r="Q215" s="181"/>
      <c r="R215" s="181"/>
      <c r="S215" s="181"/>
      <c r="T215" s="182"/>
      <c r="U215" s="181">
        <v>0.0125</v>
      </c>
    </row>
    <row r="216" spans="1:21" s="25" customFormat="1" ht="12.75">
      <c r="A216" s="85" t="s">
        <v>2640</v>
      </c>
      <c r="B216" s="86" t="s">
        <v>2641</v>
      </c>
      <c r="C216" s="87" t="str">
        <f t="shared" si="4"/>
        <v>10 lat/a od dnia zakupu</v>
      </c>
      <c r="D216" s="87">
        <v>44743</v>
      </c>
      <c r="E216" s="87">
        <v>44773</v>
      </c>
      <c r="F216" s="88">
        <v>100</v>
      </c>
      <c r="G216" s="166">
        <v>99.9</v>
      </c>
      <c r="H216" s="178">
        <v>750.4741</v>
      </c>
      <c r="I216" s="168">
        <v>38.5385</v>
      </c>
      <c r="J216" s="181">
        <v>0.0625</v>
      </c>
      <c r="K216" s="181">
        <f>$U216+13%</f>
        <v>0.14250000000000002</v>
      </c>
      <c r="L216" s="181"/>
      <c r="M216" s="181"/>
      <c r="N216" s="181"/>
      <c r="O216" s="181"/>
      <c r="P216" s="181"/>
      <c r="Q216" s="181"/>
      <c r="R216" s="181"/>
      <c r="S216" s="181"/>
      <c r="T216" s="182"/>
      <c r="U216" s="181">
        <v>0.0125</v>
      </c>
    </row>
    <row r="217" spans="1:21" ht="12.75">
      <c r="A217" s="85" t="s">
        <v>2807</v>
      </c>
      <c r="B217" s="86" t="s">
        <v>2808</v>
      </c>
      <c r="C217" s="87" t="str">
        <f t="shared" si="4"/>
        <v>10 lat/a od dnia zakupu</v>
      </c>
      <c r="D217" s="87">
        <v>44774</v>
      </c>
      <c r="E217" s="87">
        <v>44804</v>
      </c>
      <c r="F217" s="88">
        <v>100</v>
      </c>
      <c r="G217" s="166">
        <v>99.9</v>
      </c>
      <c r="H217" s="178">
        <v>491.9332</v>
      </c>
      <c r="I217" s="168">
        <v>34.4462</v>
      </c>
      <c r="J217" s="181">
        <v>0.0675</v>
      </c>
      <c r="K217" s="181">
        <f>$U217+11.5%</f>
        <v>0.1275</v>
      </c>
      <c r="L217" s="181"/>
      <c r="M217" s="181"/>
      <c r="N217" s="181"/>
      <c r="O217" s="181"/>
      <c r="P217" s="181"/>
      <c r="Q217" s="181"/>
      <c r="R217" s="181"/>
      <c r="S217" s="181"/>
      <c r="T217" s="182"/>
      <c r="U217" s="181">
        <v>0.0125</v>
      </c>
    </row>
    <row r="218" spans="1:21" ht="12.75">
      <c r="A218" s="85" t="s">
        <v>2809</v>
      </c>
      <c r="B218" s="86" t="s">
        <v>2810</v>
      </c>
      <c r="C218" s="87" t="str">
        <f t="shared" si="4"/>
        <v>10 lat/a od dnia zakupu</v>
      </c>
      <c r="D218" s="87">
        <v>44805</v>
      </c>
      <c r="E218" s="87">
        <v>44834</v>
      </c>
      <c r="F218" s="88">
        <v>100</v>
      </c>
      <c r="G218" s="166">
        <v>99.9</v>
      </c>
      <c r="H218" s="178">
        <v>311.6793</v>
      </c>
      <c r="I218" s="168">
        <v>38.0713</v>
      </c>
      <c r="J218" s="181">
        <v>0.0675</v>
      </c>
      <c r="K218" s="181">
        <f>$U218+10.8%</f>
        <v>0.12050000000000001</v>
      </c>
      <c r="L218" s="181"/>
      <c r="M218" s="181"/>
      <c r="N218" s="181"/>
      <c r="O218" s="181"/>
      <c r="P218" s="181"/>
      <c r="Q218" s="181"/>
      <c r="R218" s="181"/>
      <c r="S218" s="181"/>
      <c r="T218" s="182"/>
      <c r="U218" s="181">
        <v>0.0125</v>
      </c>
    </row>
    <row r="219" spans="1:21" ht="12.75">
      <c r="A219" s="85" t="s">
        <v>2811</v>
      </c>
      <c r="B219" s="86" t="s">
        <v>2812</v>
      </c>
      <c r="C219" s="87" t="str">
        <f t="shared" si="4"/>
        <v>10 lat/a od dnia zakupu</v>
      </c>
      <c r="D219" s="87">
        <v>44835</v>
      </c>
      <c r="E219" s="87">
        <v>44865</v>
      </c>
      <c r="F219" s="88">
        <v>100</v>
      </c>
      <c r="G219" s="166">
        <v>99.9</v>
      </c>
      <c r="H219" s="178">
        <v>484.82820000000004</v>
      </c>
      <c r="I219" s="168">
        <v>38.8429</v>
      </c>
      <c r="J219" s="181">
        <v>0.0725</v>
      </c>
      <c r="K219" s="181">
        <f>$U219+10.1%</f>
        <v>0.11349999999999999</v>
      </c>
      <c r="L219" s="181"/>
      <c r="M219" s="181"/>
      <c r="N219" s="181"/>
      <c r="O219" s="181"/>
      <c r="P219" s="181"/>
      <c r="Q219" s="181"/>
      <c r="R219" s="181"/>
      <c r="S219" s="181"/>
      <c r="T219" s="182"/>
      <c r="U219" s="181">
        <v>0.0125</v>
      </c>
    </row>
    <row r="220" spans="1:21" ht="12.75">
      <c r="A220" s="85" t="s">
        <v>2813</v>
      </c>
      <c r="B220" s="86" t="s">
        <v>2814</v>
      </c>
      <c r="C220" s="87" t="str">
        <f t="shared" si="4"/>
        <v>10 lat/a od dnia zakupu</v>
      </c>
      <c r="D220" s="87">
        <v>44866</v>
      </c>
      <c r="E220" s="87">
        <v>44895</v>
      </c>
      <c r="F220" s="88">
        <v>100</v>
      </c>
      <c r="G220" s="166">
        <v>99.9</v>
      </c>
      <c r="H220" s="178">
        <v>339.0755</v>
      </c>
      <c r="I220" s="168">
        <v>41.1467</v>
      </c>
      <c r="J220" s="181">
        <v>0.0725</v>
      </c>
      <c r="K220" s="181">
        <f>$U220+8.2%</f>
        <v>0.09449999999999999</v>
      </c>
      <c r="L220" s="181"/>
      <c r="M220" s="181"/>
      <c r="N220" s="181"/>
      <c r="O220" s="181"/>
      <c r="P220" s="181"/>
      <c r="Q220" s="181"/>
      <c r="R220" s="181"/>
      <c r="S220" s="181"/>
      <c r="T220" s="182"/>
      <c r="U220" s="181">
        <v>0.0125</v>
      </c>
    </row>
    <row r="221" spans="1:21" ht="12.75">
      <c r="A221" s="90" t="s">
        <v>2815</v>
      </c>
      <c r="B221" s="91" t="s">
        <v>2816</v>
      </c>
      <c r="C221" s="92" t="str">
        <f t="shared" si="4"/>
        <v>10 lat/a od dnia zakupu</v>
      </c>
      <c r="D221" s="92">
        <v>44896</v>
      </c>
      <c r="E221" s="92">
        <v>44926</v>
      </c>
      <c r="F221" s="93">
        <v>100</v>
      </c>
      <c r="G221" s="170">
        <v>99.9</v>
      </c>
      <c r="H221" s="183">
        <v>425.7368</v>
      </c>
      <c r="I221" s="172">
        <v>31.0924</v>
      </c>
      <c r="J221" s="184">
        <v>0.0725</v>
      </c>
      <c r="K221" s="184">
        <f>$U221+6.6%</f>
        <v>0.0785</v>
      </c>
      <c r="L221" s="184"/>
      <c r="M221" s="184"/>
      <c r="N221" s="184"/>
      <c r="O221" s="184"/>
      <c r="P221" s="184"/>
      <c r="Q221" s="184"/>
      <c r="R221" s="184"/>
      <c r="S221" s="184"/>
      <c r="T221" s="185"/>
      <c r="U221" s="184">
        <v>0.0125</v>
      </c>
    </row>
    <row r="222" spans="1:21" ht="12.75">
      <c r="A222" s="113" t="s">
        <v>2817</v>
      </c>
      <c r="B222" s="114" t="s">
        <v>2818</v>
      </c>
      <c r="C222" s="136" t="str">
        <f t="shared" si="4"/>
        <v>10 lat/a od dnia zakupu</v>
      </c>
      <c r="D222" s="136">
        <v>44927</v>
      </c>
      <c r="E222" s="136">
        <v>44957</v>
      </c>
      <c r="F222" s="137">
        <v>100</v>
      </c>
      <c r="G222" s="175">
        <v>99.9</v>
      </c>
      <c r="H222" s="188">
        <v>509.23449999999997</v>
      </c>
      <c r="I222" s="177">
        <v>65.3106</v>
      </c>
      <c r="J222" s="179">
        <v>0.0725</v>
      </c>
      <c r="K222" s="179">
        <f>$U222+6.6%</f>
        <v>0.0785</v>
      </c>
      <c r="L222" s="179"/>
      <c r="M222" s="179"/>
      <c r="N222" s="179"/>
      <c r="O222" s="179"/>
      <c r="P222" s="179"/>
      <c r="Q222" s="179"/>
      <c r="R222" s="179"/>
      <c r="S222" s="179"/>
      <c r="T222" s="180"/>
      <c r="U222" s="179">
        <v>0.0125</v>
      </c>
    </row>
    <row r="223" spans="1:21" ht="12.75">
      <c r="A223" s="85" t="s">
        <v>2819</v>
      </c>
      <c r="B223" s="86" t="s">
        <v>2820</v>
      </c>
      <c r="C223" s="87" t="str">
        <f t="shared" si="4"/>
        <v>10 lat/a od dnia zakupu</v>
      </c>
      <c r="D223" s="87">
        <v>44958</v>
      </c>
      <c r="E223" s="87">
        <v>44985</v>
      </c>
      <c r="F223" s="88">
        <v>100</v>
      </c>
      <c r="G223" s="166">
        <v>99.9</v>
      </c>
      <c r="H223" s="178">
        <v>402.6191</v>
      </c>
      <c r="I223" s="168">
        <v>45.086800000000004</v>
      </c>
      <c r="J223" s="181">
        <v>0.0725</v>
      </c>
      <c r="K223" s="181">
        <f>$U223+6.2%</f>
        <v>0.0745</v>
      </c>
      <c r="L223" s="181"/>
      <c r="M223" s="181"/>
      <c r="N223" s="181"/>
      <c r="O223" s="181"/>
      <c r="P223" s="181"/>
      <c r="Q223" s="181"/>
      <c r="R223" s="181"/>
      <c r="S223" s="181"/>
      <c r="T223" s="182"/>
      <c r="U223" s="181">
        <v>0.0125</v>
      </c>
    </row>
    <row r="224" spans="1:21" ht="12.75">
      <c r="A224" s="85" t="s">
        <v>2821</v>
      </c>
      <c r="B224" s="86" t="s">
        <v>2822</v>
      </c>
      <c r="C224" s="87" t="str">
        <f t="shared" si="4"/>
        <v>10 lat/a od dnia zakupu</v>
      </c>
      <c r="D224" s="87">
        <v>44986</v>
      </c>
      <c r="E224" s="87">
        <v>45016</v>
      </c>
      <c r="F224" s="88">
        <v>100</v>
      </c>
      <c r="G224" s="166">
        <v>99.9</v>
      </c>
      <c r="H224" s="178">
        <v>396.0561</v>
      </c>
      <c r="I224" s="168">
        <v>23.1151</v>
      </c>
      <c r="J224" s="181">
        <v>0.0725</v>
      </c>
      <c r="K224" s="181">
        <f>$U224+3.9%</f>
        <v>0.051500000000000004</v>
      </c>
      <c r="L224" s="181"/>
      <c r="M224" s="181"/>
      <c r="N224" s="181"/>
      <c r="O224" s="181"/>
      <c r="P224" s="181"/>
      <c r="Q224" s="181"/>
      <c r="R224" s="181"/>
      <c r="S224" s="181"/>
      <c r="T224" s="182"/>
      <c r="U224" s="181">
        <v>0.0125</v>
      </c>
    </row>
    <row r="225" spans="1:21" ht="12.75">
      <c r="A225" s="85" t="s">
        <v>2823</v>
      </c>
      <c r="B225" s="86" t="s">
        <v>2824</v>
      </c>
      <c r="C225" s="87" t="str">
        <f t="shared" si="4"/>
        <v>10 lat/a od dnia zakupu</v>
      </c>
      <c r="D225" s="87">
        <v>45017</v>
      </c>
      <c r="E225" s="87">
        <v>45046</v>
      </c>
      <c r="F225" s="88">
        <v>100</v>
      </c>
      <c r="G225" s="166">
        <v>99.9</v>
      </c>
      <c r="H225" s="178">
        <v>364.89209999999997</v>
      </c>
      <c r="I225" s="168">
        <v>24.2475</v>
      </c>
      <c r="J225" s="181">
        <v>0.0725</v>
      </c>
      <c r="K225" s="181">
        <f>$U225+2.8%</f>
        <v>0.040499999999999994</v>
      </c>
      <c r="L225" s="181"/>
      <c r="M225" s="181"/>
      <c r="N225" s="181"/>
      <c r="O225" s="181"/>
      <c r="P225" s="181"/>
      <c r="Q225" s="181"/>
      <c r="R225" s="181"/>
      <c r="S225" s="181"/>
      <c r="T225" s="182"/>
      <c r="U225" s="181">
        <v>0.0125</v>
      </c>
    </row>
    <row r="226" spans="1:21" ht="12.75">
      <c r="A226" s="85" t="s">
        <v>2825</v>
      </c>
      <c r="B226" s="86" t="s">
        <v>2826</v>
      </c>
      <c r="C226" s="87" t="str">
        <f t="shared" si="4"/>
        <v>10 lat/a od dnia zakupu</v>
      </c>
      <c r="D226" s="87">
        <v>45047</v>
      </c>
      <c r="E226" s="87">
        <v>45077</v>
      </c>
      <c r="F226" s="88">
        <v>100</v>
      </c>
      <c r="G226" s="166">
        <v>99.9</v>
      </c>
      <c r="H226" s="178">
        <v>382.1191</v>
      </c>
      <c r="I226" s="168">
        <v>43.764</v>
      </c>
      <c r="J226" s="181">
        <v>0.0725</v>
      </c>
      <c r="K226" s="181"/>
      <c r="L226" s="181"/>
      <c r="M226" s="181"/>
      <c r="N226" s="181"/>
      <c r="O226" s="181"/>
      <c r="P226" s="181"/>
      <c r="Q226" s="181"/>
      <c r="R226" s="181"/>
      <c r="S226" s="181"/>
      <c r="T226" s="182"/>
      <c r="U226" s="181">
        <v>0.0125</v>
      </c>
    </row>
    <row r="227" spans="1:21" ht="12.75">
      <c r="A227" s="85" t="s">
        <v>2827</v>
      </c>
      <c r="B227" s="86" t="s">
        <v>2828</v>
      </c>
      <c r="C227" s="87" t="str">
        <f t="shared" si="4"/>
        <v>10 lat/a od dnia zakupu</v>
      </c>
      <c r="D227" s="87">
        <v>45078</v>
      </c>
      <c r="E227" s="87">
        <v>45107</v>
      </c>
      <c r="F227" s="88">
        <v>100</v>
      </c>
      <c r="G227" s="166">
        <v>99.4</v>
      </c>
      <c r="H227" s="178">
        <v>429.21</v>
      </c>
      <c r="I227" s="168">
        <v>92.6202</v>
      </c>
      <c r="J227" s="181">
        <v>0.0725</v>
      </c>
      <c r="K227" s="181"/>
      <c r="L227" s="181"/>
      <c r="M227" s="181"/>
      <c r="N227" s="181"/>
      <c r="O227" s="181"/>
      <c r="P227" s="181"/>
      <c r="Q227" s="181"/>
      <c r="R227" s="181"/>
      <c r="S227" s="181"/>
      <c r="T227" s="182"/>
      <c r="U227" s="181">
        <v>0.0125</v>
      </c>
    </row>
    <row r="228" spans="1:21" ht="12.75">
      <c r="A228" s="85" t="s">
        <v>2829</v>
      </c>
      <c r="B228" s="86" t="s">
        <v>2830</v>
      </c>
      <c r="C228" s="87" t="str">
        <f t="shared" si="4"/>
        <v>10 lat/a od dnia zakupu</v>
      </c>
      <c r="D228" s="87">
        <v>45108</v>
      </c>
      <c r="E228" s="87">
        <v>45138</v>
      </c>
      <c r="F228" s="88">
        <v>100</v>
      </c>
      <c r="G228" s="166">
        <v>99.4</v>
      </c>
      <c r="H228" s="178">
        <v>409.2647</v>
      </c>
      <c r="I228" s="168">
        <v>89.4356</v>
      </c>
      <c r="J228" s="181">
        <v>0.0725</v>
      </c>
      <c r="K228" s="181"/>
      <c r="L228" s="181"/>
      <c r="M228" s="181"/>
      <c r="N228" s="181"/>
      <c r="O228" s="181"/>
      <c r="P228" s="181"/>
      <c r="Q228" s="181"/>
      <c r="R228" s="181"/>
      <c r="S228" s="181"/>
      <c r="T228" s="182"/>
      <c r="U228" s="181">
        <v>0.0125</v>
      </c>
    </row>
    <row r="229" spans="1:21" ht="12.75">
      <c r="A229" s="85" t="s">
        <v>2831</v>
      </c>
      <c r="B229" s="86" t="s">
        <v>2832</v>
      </c>
      <c r="C229" s="87" t="str">
        <f t="shared" si="4"/>
        <v>10 lat/a od dnia zakupu</v>
      </c>
      <c r="D229" s="87">
        <v>45139</v>
      </c>
      <c r="E229" s="87">
        <v>45169</v>
      </c>
      <c r="F229" s="88">
        <v>100</v>
      </c>
      <c r="G229" s="166">
        <v>99.4</v>
      </c>
      <c r="H229" s="178">
        <v>385.6517</v>
      </c>
      <c r="I229" s="168">
        <v>86.9334</v>
      </c>
      <c r="J229" s="181">
        <v>0.0725</v>
      </c>
      <c r="K229" s="181"/>
      <c r="L229" s="181"/>
      <c r="M229" s="181"/>
      <c r="N229" s="181"/>
      <c r="O229" s="181"/>
      <c r="P229" s="181"/>
      <c r="Q229" s="181"/>
      <c r="R229" s="181"/>
      <c r="S229" s="181"/>
      <c r="T229" s="182"/>
      <c r="U229" s="181">
        <v>0.0125</v>
      </c>
    </row>
    <row r="230" spans="1:21" ht="12.75">
      <c r="A230" s="85" t="s">
        <v>2833</v>
      </c>
      <c r="B230" s="86" t="s">
        <v>2834</v>
      </c>
      <c r="C230" s="87" t="str">
        <f t="shared" si="4"/>
        <v>10 lat/a od dnia zakupu</v>
      </c>
      <c r="D230" s="87">
        <v>45170</v>
      </c>
      <c r="E230" s="87">
        <v>45199</v>
      </c>
      <c r="F230" s="88">
        <v>100</v>
      </c>
      <c r="G230" s="166">
        <v>99.9</v>
      </c>
      <c r="H230" s="178">
        <v>437.4789</v>
      </c>
      <c r="I230" s="168">
        <v>33.2224</v>
      </c>
      <c r="J230" s="181">
        <v>0.0725</v>
      </c>
      <c r="K230" s="181"/>
      <c r="L230" s="181"/>
      <c r="M230" s="181"/>
      <c r="N230" s="181"/>
      <c r="O230" s="181"/>
      <c r="P230" s="181"/>
      <c r="Q230" s="181"/>
      <c r="R230" s="181"/>
      <c r="S230" s="181"/>
      <c r="T230" s="182"/>
      <c r="U230" s="181">
        <v>0.0125</v>
      </c>
    </row>
    <row r="231" spans="1:21" ht="12.75">
      <c r="A231" s="85" t="s">
        <v>2835</v>
      </c>
      <c r="B231" s="86" t="s">
        <v>2836</v>
      </c>
      <c r="C231" s="87" t="str">
        <f t="shared" si="4"/>
        <v>10 lat/a od dnia zakupu</v>
      </c>
      <c r="D231" s="87">
        <v>45200</v>
      </c>
      <c r="E231" s="87">
        <v>45230</v>
      </c>
      <c r="F231" s="88">
        <v>100</v>
      </c>
      <c r="G231" s="166">
        <v>99.9</v>
      </c>
      <c r="H231" s="89">
        <v>1082.5572</v>
      </c>
      <c r="I231" s="189">
        <v>68.9817</v>
      </c>
      <c r="J231" s="181">
        <v>0.0725</v>
      </c>
      <c r="K231" s="181"/>
      <c r="L231" s="181"/>
      <c r="M231" s="181"/>
      <c r="N231" s="181"/>
      <c r="O231" s="181"/>
      <c r="P231" s="181"/>
      <c r="Q231" s="181"/>
      <c r="R231" s="181"/>
      <c r="S231" s="181"/>
      <c r="T231" s="182"/>
      <c r="U231" s="181">
        <v>0.015</v>
      </c>
    </row>
    <row r="232" spans="1:21" ht="12.75">
      <c r="A232" s="85" t="s">
        <v>2837</v>
      </c>
      <c r="B232" s="86" t="s">
        <v>2838</v>
      </c>
      <c r="C232" s="87" t="str">
        <f aca="true" t="shared" si="5" ref="C232:C237">"10"&amp;WykupCOI</f>
        <v>10 lat/a od dnia zakupu</v>
      </c>
      <c r="D232" s="87">
        <v>45231</v>
      </c>
      <c r="E232" s="87">
        <v>45260</v>
      </c>
      <c r="F232" s="88">
        <v>100</v>
      </c>
      <c r="G232" s="166">
        <v>99.9</v>
      </c>
      <c r="H232" s="89">
        <v>360.4124</v>
      </c>
      <c r="I232" s="189">
        <v>47.535700000000006</v>
      </c>
      <c r="J232" s="181">
        <v>0.07</v>
      </c>
      <c r="K232" s="181"/>
      <c r="L232" s="181"/>
      <c r="M232" s="181"/>
      <c r="N232" s="181"/>
      <c r="O232" s="181"/>
      <c r="P232" s="181"/>
      <c r="Q232" s="181"/>
      <c r="R232" s="181"/>
      <c r="S232" s="181"/>
      <c r="T232" s="182"/>
      <c r="U232" s="181">
        <v>0.015</v>
      </c>
    </row>
    <row r="233" spans="1:21" s="25" customFormat="1" ht="12.75">
      <c r="A233" s="90" t="s">
        <v>2913</v>
      </c>
      <c r="B233" s="91" t="s">
        <v>2914</v>
      </c>
      <c r="C233" s="92" t="str">
        <f t="shared" si="5"/>
        <v>10 lat/a od dnia zakupu</v>
      </c>
      <c r="D233" s="92">
        <v>45261</v>
      </c>
      <c r="E233" s="92">
        <v>45291</v>
      </c>
      <c r="F233" s="93">
        <v>100</v>
      </c>
      <c r="G233" s="170">
        <v>99.9</v>
      </c>
      <c r="H233" s="183">
        <v>591.1197</v>
      </c>
      <c r="I233" s="172">
        <v>45.595600000000005</v>
      </c>
      <c r="J233" s="184">
        <v>0.07</v>
      </c>
      <c r="K233" s="184"/>
      <c r="L233" s="184"/>
      <c r="M233" s="184"/>
      <c r="N233" s="184"/>
      <c r="O233" s="184"/>
      <c r="P233" s="184"/>
      <c r="Q233" s="184"/>
      <c r="R233" s="184"/>
      <c r="S233" s="184"/>
      <c r="T233" s="185"/>
      <c r="U233" s="184">
        <v>0.015</v>
      </c>
    </row>
    <row r="234" spans="1:21" ht="12.75">
      <c r="A234" s="85" t="s">
        <v>2929</v>
      </c>
      <c r="B234" s="86" t="s">
        <v>2930</v>
      </c>
      <c r="C234" s="87" t="str">
        <f t="shared" si="5"/>
        <v>10 lat/a od dnia zakupu</v>
      </c>
      <c r="D234" s="87">
        <f>_XLL.NR.SER.DATY(D233,1)</f>
        <v>45292</v>
      </c>
      <c r="E234" s="87">
        <f>_XLL.NR.SER.OST.DN.MIES(D234,0)</f>
        <v>45322</v>
      </c>
      <c r="F234" s="88">
        <v>100</v>
      </c>
      <c r="G234" s="166">
        <v>99.9</v>
      </c>
      <c r="H234" s="89">
        <v>780.8411</v>
      </c>
      <c r="I234" s="189">
        <v>85.4579</v>
      </c>
      <c r="J234" s="181">
        <v>0.069</v>
      </c>
      <c r="K234" s="181"/>
      <c r="L234" s="181"/>
      <c r="M234" s="181"/>
      <c r="N234" s="181"/>
      <c r="O234" s="181"/>
      <c r="P234" s="181"/>
      <c r="Q234" s="181"/>
      <c r="R234" s="181"/>
      <c r="S234" s="181"/>
      <c r="T234" s="182"/>
      <c r="U234" s="181">
        <v>0.015</v>
      </c>
    </row>
    <row r="235" spans="1:21" ht="12.75">
      <c r="A235" s="85" t="s">
        <v>2945</v>
      </c>
      <c r="B235" s="86" t="s">
        <v>2946</v>
      </c>
      <c r="C235" s="87" t="str">
        <f t="shared" si="5"/>
        <v>10 lat/a od dnia zakupu</v>
      </c>
      <c r="D235" s="87">
        <f>_XLL.NR.SER.DATY(D234,1)</f>
        <v>45323</v>
      </c>
      <c r="E235" s="87">
        <f>_XLL.NR.SER.OST.DN.MIES(D235,0)-1</f>
        <v>45350</v>
      </c>
      <c r="F235" s="88">
        <v>100</v>
      </c>
      <c r="G235" s="166">
        <v>99.9</v>
      </c>
      <c r="H235" s="178">
        <v>404.32829999999996</v>
      </c>
      <c r="I235" s="168">
        <v>58.1198</v>
      </c>
      <c r="J235" s="181">
        <v>0.068</v>
      </c>
      <c r="K235" s="181"/>
      <c r="L235" s="181"/>
      <c r="M235" s="181"/>
      <c r="N235" s="181"/>
      <c r="O235" s="181"/>
      <c r="P235" s="181"/>
      <c r="Q235" s="181"/>
      <c r="R235" s="181"/>
      <c r="S235" s="181"/>
      <c r="T235" s="182"/>
      <c r="U235" s="181">
        <v>0.015</v>
      </c>
    </row>
    <row r="236" spans="1:21" ht="12.75">
      <c r="A236" s="85" t="s">
        <v>2961</v>
      </c>
      <c r="B236" s="86" t="s">
        <v>2962</v>
      </c>
      <c r="C236" s="87" t="str">
        <f t="shared" si="5"/>
        <v>10 lat/a od dnia zakupu</v>
      </c>
      <c r="D236" s="87">
        <f>_XLL.NR.SER.DATY(D235,1)</f>
        <v>45352</v>
      </c>
      <c r="E236" s="87">
        <f>_XLL.NR.SER.OST.DN.MIES(D236,0)</f>
        <v>45382</v>
      </c>
      <c r="F236" s="88">
        <v>100</v>
      </c>
      <c r="G236" s="166">
        <v>99.9</v>
      </c>
      <c r="H236" s="178">
        <v>354.3912</v>
      </c>
      <c r="I236" s="168">
        <v>42.2354</v>
      </c>
      <c r="J236" s="181">
        <v>0.068</v>
      </c>
      <c r="K236" s="181"/>
      <c r="L236" s="181"/>
      <c r="M236" s="181"/>
      <c r="N236" s="181"/>
      <c r="O236" s="181"/>
      <c r="P236" s="181"/>
      <c r="Q236" s="181"/>
      <c r="R236" s="181"/>
      <c r="S236" s="181"/>
      <c r="T236" s="182"/>
      <c r="U236" s="181">
        <v>0.015</v>
      </c>
    </row>
    <row r="237" spans="1:21" s="25" customFormat="1" ht="12.75">
      <c r="A237" s="90" t="s">
        <v>2977</v>
      </c>
      <c r="B237" s="91" t="s">
        <v>2978</v>
      </c>
      <c r="C237" s="92" t="str">
        <f t="shared" si="5"/>
        <v>10 lat/a od dnia zakupu</v>
      </c>
      <c r="D237" s="92">
        <f>_XLL.NR.SER.DATY(D236,1)</f>
        <v>45383</v>
      </c>
      <c r="E237" s="92">
        <f>_XLL.NR.SER.OST.DN.MIES(D237,0)</f>
        <v>45412</v>
      </c>
      <c r="F237" s="93">
        <v>100</v>
      </c>
      <c r="G237" s="170">
        <v>99.9</v>
      </c>
      <c r="H237" s="183"/>
      <c r="I237" s="172"/>
      <c r="J237" s="184">
        <v>0.068</v>
      </c>
      <c r="K237" s="184"/>
      <c r="L237" s="184"/>
      <c r="M237" s="184"/>
      <c r="N237" s="184"/>
      <c r="O237" s="184"/>
      <c r="P237" s="184"/>
      <c r="Q237" s="184"/>
      <c r="R237" s="184"/>
      <c r="S237" s="184"/>
      <c r="T237" s="185"/>
      <c r="U237" s="184">
        <v>0.015</v>
      </c>
    </row>
  </sheetData>
  <sheetProtection/>
  <mergeCells count="1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S1"/>
    <mergeCell ref="T1:T2"/>
    <mergeCell ref="U1:U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  <ignoredErrors>
    <ignoredError sqref="S54 R66 Q78 P90 S77 Q101 R89 S92 O102:S125 M149:N185 J114:N148 J214:N221 J149:L209 O130:S137 O126:R126 O142:S149 O138:Q138 S138 O154:S161 O150:P150 R150:S150 O166:S173 O162 Q162:S162 M190:N197 M186 M202:N212 N198 J212:K212 J210:K210 J226:N233 J222 L222:N222 O127:R127 O139:Q139 S139 O151:P151 R151:S151 O163 Q163:S163 M187 N199 J211:K211 J223 L223:N223 O128:R128 O140:Q140 S140 O152:P152 R152:S152 O164 Q164:S164 M188 N200 J224 L224:N224 E235 O129:R129 O141:Q141 S141 O153:P153 R153:S153 O165 Q165:S165 M189 N201 J213:K213 M213:N213 J225 L225:N2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8"/>
  <dimension ref="A1:Q93"/>
  <sheetViews>
    <sheetView zoomScale="115" zoomScaleNormal="115" zoomScalePageLayoutView="0" workbookViewId="0" topLeftCell="A1">
      <pane xSplit="2" ySplit="2" topLeftCell="C9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94" sqref="A94"/>
    </sheetView>
  </sheetViews>
  <sheetFormatPr defaultColWidth="0" defaultRowHeight="12.75"/>
  <cols>
    <col min="1" max="1" width="10.875" style="13" customWidth="1"/>
    <col min="2" max="2" width="16.50390625" style="13" customWidth="1"/>
    <col min="3" max="3" width="30.875" style="13" customWidth="1"/>
    <col min="4" max="4" width="17.625" style="13" bestFit="1" customWidth="1"/>
    <col min="5" max="5" width="11.875" style="13" bestFit="1" customWidth="1"/>
    <col min="6" max="6" width="12.50390625" style="13" bestFit="1" customWidth="1"/>
    <col min="7" max="7" width="18.00390625" style="23" bestFit="1" customWidth="1"/>
    <col min="8" max="8" width="11.50390625" style="13" bestFit="1" customWidth="1"/>
    <col min="9" max="9" width="15.875" style="13" customWidth="1"/>
    <col min="10" max="10" width="7.875" style="22" customWidth="1"/>
    <col min="11" max="15" width="7.875" style="34" customWidth="1"/>
    <col min="16" max="16" width="13.625" style="34" bestFit="1" customWidth="1"/>
    <col min="17" max="17" width="8.50390625" style="34" bestFit="1" customWidth="1"/>
    <col min="18" max="252" width="0" style="0" hidden="1" customWidth="1"/>
    <col min="253" max="16384" width="20.125" style="0" hidden="1" customWidth="1"/>
  </cols>
  <sheetData>
    <row r="1" spans="1:17" ht="13.5" customHeight="1" thickBot="1">
      <c r="A1" s="359" t="str">
        <f>Seria</f>
        <v>Seria</v>
      </c>
      <c r="B1" s="359" t="str">
        <f>ISIN</f>
        <v>Kod ISIN</v>
      </c>
      <c r="C1" s="351" t="str">
        <f>Wykup</f>
        <v>Data wykupu</v>
      </c>
      <c r="D1" s="351" t="str">
        <f>PoczatekSprzedazy</f>
        <v>Początek sprzedaży</v>
      </c>
      <c r="E1" s="351" t="str">
        <f>KoniecSprzedazy</f>
        <v>Koniec sprzedaży</v>
      </c>
      <c r="F1" s="351" t="str">
        <f>CenaEmisyjna</f>
        <v>Cena emisyjna</v>
      </c>
      <c r="G1" s="351" t="str">
        <f>switch_price</f>
        <v>Cena zamiany</v>
      </c>
      <c r="H1" s="353" t="str">
        <f>Sprzedaz&amp;" 
(mln zł)"</f>
        <v>Sprzedaż łączna 
(mln zł)</v>
      </c>
      <c r="I1" s="353" t="str">
        <f>switch&amp;" (mln zł)"</f>
        <v>w tym zamiana (mln zł)</v>
      </c>
      <c r="J1" s="355" t="str">
        <f>Oprocentowanie</f>
        <v>Oprocentowanie</v>
      </c>
      <c r="K1" s="355"/>
      <c r="L1" s="355"/>
      <c r="M1" s="355"/>
      <c r="N1" s="355"/>
      <c r="O1" s="355"/>
      <c r="P1" s="357" t="str">
        <f>Odsetki&amp;" (zł)"</f>
        <v>Odsetki (zł)</v>
      </c>
      <c r="Q1" s="357" t="str">
        <f>Marża</f>
        <v>Marża</v>
      </c>
    </row>
    <row r="2" spans="1:17" s="34" customFormat="1" ht="27" customHeight="1" thickBot="1">
      <c r="A2" s="360"/>
      <c r="B2" s="360"/>
      <c r="C2" s="352"/>
      <c r="D2" s="352"/>
      <c r="E2" s="352"/>
      <c r="F2" s="352"/>
      <c r="G2" s="352"/>
      <c r="H2" s="354"/>
      <c r="I2" s="354"/>
      <c r="J2" s="32" t="str">
        <f>FirstYear</f>
        <v> w 1. roku</v>
      </c>
      <c r="K2" s="32" t="str">
        <f>SecondYear</f>
        <v> w 2. roku</v>
      </c>
      <c r="L2" s="32" t="str">
        <f>ThirdYear</f>
        <v> w 3. roku</v>
      </c>
      <c r="M2" s="32" t="str">
        <f>FourthYear</f>
        <v> w 4. roku</v>
      </c>
      <c r="N2" s="32" t="str">
        <f>FifthYear</f>
        <v> w 5. roku</v>
      </c>
      <c r="O2" s="32" t="str">
        <f>Sixth_Year</f>
        <v> w 6. roku</v>
      </c>
      <c r="P2" s="358"/>
      <c r="Q2" s="358"/>
    </row>
    <row r="3" spans="1:17" s="193" customFormat="1" ht="12.75">
      <c r="A3" s="85" t="s">
        <v>1559</v>
      </c>
      <c r="B3" s="86" t="s">
        <v>1560</v>
      </c>
      <c r="C3" s="87" t="str">
        <f>"6"&amp;WykupCOI</f>
        <v>6 lat/a od dnia zakupu</v>
      </c>
      <c r="D3" s="87">
        <v>42644</v>
      </c>
      <c r="E3" s="87">
        <v>42674</v>
      </c>
      <c r="F3" s="88">
        <v>100</v>
      </c>
      <c r="G3" s="190" t="s">
        <v>8</v>
      </c>
      <c r="H3" s="191">
        <v>0.4778</v>
      </c>
      <c r="I3" s="192" t="s">
        <v>8</v>
      </c>
      <c r="J3" s="64">
        <v>0.026</v>
      </c>
      <c r="K3" s="64">
        <f>$Q3+1.8%</f>
        <v>0.035500000000000004</v>
      </c>
      <c r="L3" s="64">
        <f>$Q3+2%</f>
        <v>0.037500000000000006</v>
      </c>
      <c r="M3" s="64">
        <f>$Q3+2.9%</f>
        <v>0.0465</v>
      </c>
      <c r="N3" s="64">
        <f>$Q3+2.9%</f>
        <v>0.0465</v>
      </c>
      <c r="O3" s="64">
        <f>$Q3+5.5%</f>
        <v>0.07250000000000001</v>
      </c>
      <c r="P3" s="169">
        <v>29.47</v>
      </c>
      <c r="Q3" s="73">
        <v>0.0175</v>
      </c>
    </row>
    <row r="4" spans="1:17" s="193" customFormat="1" ht="12.75">
      <c r="A4" s="85" t="s">
        <v>1572</v>
      </c>
      <c r="B4" s="86" t="s">
        <v>1573</v>
      </c>
      <c r="C4" s="87" t="str">
        <f>"6"&amp;WykupCOI</f>
        <v>6 lat/a od dnia zakupu</v>
      </c>
      <c r="D4" s="87">
        <v>42675</v>
      </c>
      <c r="E4" s="87">
        <v>42704</v>
      </c>
      <c r="F4" s="88">
        <v>100</v>
      </c>
      <c r="G4" s="190" t="s">
        <v>8</v>
      </c>
      <c r="H4" s="191">
        <v>0.697</v>
      </c>
      <c r="I4" s="192" t="s">
        <v>8</v>
      </c>
      <c r="J4" s="63">
        <v>0.026</v>
      </c>
      <c r="K4" s="63">
        <f>Q4+2.2%</f>
        <v>0.03950000000000001</v>
      </c>
      <c r="L4" s="63">
        <f>$Q4+1.9%</f>
        <v>0.036500000000000005</v>
      </c>
      <c r="M4" s="63">
        <f>$Q4+2.6%</f>
        <v>0.043500000000000004</v>
      </c>
      <c r="N4" s="63">
        <f>$Q4+3.2%</f>
        <v>0.0495</v>
      </c>
      <c r="O4" s="63">
        <f>$Q4+5.9%</f>
        <v>0.07650000000000001</v>
      </c>
      <c r="P4" s="169">
        <v>30.33</v>
      </c>
      <c r="Q4" s="71">
        <v>0.0175</v>
      </c>
    </row>
    <row r="5" spans="1:17" s="193" customFormat="1" ht="12.75">
      <c r="A5" s="90" t="s">
        <v>1584</v>
      </c>
      <c r="B5" s="91" t="s">
        <v>1586</v>
      </c>
      <c r="C5" s="92" t="str">
        <f>"6"&amp;WykupCOI</f>
        <v>6 lat/a od dnia zakupu</v>
      </c>
      <c r="D5" s="92">
        <v>42705</v>
      </c>
      <c r="E5" s="92">
        <v>42735</v>
      </c>
      <c r="F5" s="93">
        <v>100</v>
      </c>
      <c r="G5" s="194" t="s">
        <v>8</v>
      </c>
      <c r="H5" s="195">
        <v>0.4116</v>
      </c>
      <c r="I5" s="196" t="s">
        <v>8</v>
      </c>
      <c r="J5" s="65">
        <v>0.028</v>
      </c>
      <c r="K5" s="65">
        <f>Q5+2.1%</f>
        <v>0.038500000000000006</v>
      </c>
      <c r="L5" s="65">
        <f>$Q5+1.8%</f>
        <v>0.035500000000000004</v>
      </c>
      <c r="M5" s="65">
        <f>$Q5+2.5%</f>
        <v>0.0425</v>
      </c>
      <c r="N5" s="65">
        <f>$Q5+3.1%</f>
        <v>0.0485</v>
      </c>
      <c r="O5" s="65">
        <f>$Q5+6.8%</f>
        <v>0.0855</v>
      </c>
      <c r="P5" s="169">
        <v>31.17</v>
      </c>
      <c r="Q5" s="67">
        <v>0.0175</v>
      </c>
    </row>
    <row r="6" spans="1:17" s="193" customFormat="1" ht="12.75">
      <c r="A6" s="85" t="s">
        <v>1596</v>
      </c>
      <c r="B6" s="86" t="s">
        <v>1597</v>
      </c>
      <c r="C6" s="87" t="str">
        <f aca="true" t="shared" si="0" ref="C6:C87">"6"&amp;WykupCOI</f>
        <v>6 lat/a od dnia zakupu</v>
      </c>
      <c r="D6" s="87">
        <v>42736</v>
      </c>
      <c r="E6" s="87">
        <v>42766</v>
      </c>
      <c r="F6" s="88">
        <v>100</v>
      </c>
      <c r="G6" s="197" t="s">
        <v>8</v>
      </c>
      <c r="H6" s="178">
        <v>0.5272</v>
      </c>
      <c r="I6" s="192" t="s">
        <v>8</v>
      </c>
      <c r="J6" s="66">
        <v>0.028</v>
      </c>
      <c r="K6" s="66">
        <f>Q6+2.5%</f>
        <v>0.0425</v>
      </c>
      <c r="L6" s="66">
        <f>$Q6+1.3%</f>
        <v>0.030500000000000003</v>
      </c>
      <c r="M6" s="66">
        <f>$Q6+2.6%</f>
        <v>0.043500000000000004</v>
      </c>
      <c r="N6" s="66">
        <f>$Q6+3%</f>
        <v>0.0475</v>
      </c>
      <c r="O6" s="66">
        <f>$Q6+7.8%</f>
        <v>0.0955</v>
      </c>
      <c r="P6" s="198">
        <v>32.24</v>
      </c>
      <c r="Q6" s="179">
        <v>0.0175</v>
      </c>
    </row>
    <row r="7" spans="1:17" s="193" customFormat="1" ht="12.75">
      <c r="A7" s="85" t="s">
        <v>1607</v>
      </c>
      <c r="B7" s="86" t="s">
        <v>1608</v>
      </c>
      <c r="C7" s="87" t="str">
        <f t="shared" si="0"/>
        <v>6 lat/a od dnia zakupu</v>
      </c>
      <c r="D7" s="87">
        <v>42767</v>
      </c>
      <c r="E7" s="87">
        <v>42794</v>
      </c>
      <c r="F7" s="88">
        <v>100</v>
      </c>
      <c r="G7" s="190" t="s">
        <v>8</v>
      </c>
      <c r="H7" s="178">
        <v>0.4702</v>
      </c>
      <c r="I7" s="192" t="s">
        <v>8</v>
      </c>
      <c r="J7" s="63">
        <v>0.028</v>
      </c>
      <c r="K7" s="63">
        <f>Q7+2.1%</f>
        <v>0.038500000000000006</v>
      </c>
      <c r="L7" s="63">
        <f>$Q7+1.1%</f>
        <v>0.028500000000000004</v>
      </c>
      <c r="M7" s="63">
        <f>$Q7+3.4%</f>
        <v>0.051500000000000004</v>
      </c>
      <c r="N7" s="63">
        <f>$Q7+2.4%</f>
        <v>0.0415</v>
      </c>
      <c r="O7" s="63">
        <f>$Q7+8.6%</f>
        <v>0.1035</v>
      </c>
      <c r="P7" s="199">
        <v>32.69</v>
      </c>
      <c r="Q7" s="181">
        <v>0.0175</v>
      </c>
    </row>
    <row r="8" spans="1:17" s="193" customFormat="1" ht="12.75">
      <c r="A8" s="85" t="s">
        <v>1655</v>
      </c>
      <c r="B8" s="86" t="s">
        <v>1656</v>
      </c>
      <c r="C8" s="87" t="str">
        <f t="shared" si="0"/>
        <v>6 lat/a od dnia zakupu</v>
      </c>
      <c r="D8" s="87">
        <v>42795</v>
      </c>
      <c r="E8" s="87">
        <v>42825</v>
      </c>
      <c r="F8" s="88">
        <v>100</v>
      </c>
      <c r="G8" s="190" t="s">
        <v>8</v>
      </c>
      <c r="H8" s="178">
        <v>0.9638</v>
      </c>
      <c r="I8" s="192" t="s">
        <v>8</v>
      </c>
      <c r="J8" s="63">
        <v>0.028</v>
      </c>
      <c r="K8" s="63">
        <f>Q8+1.9%</f>
        <v>0.036500000000000005</v>
      </c>
      <c r="L8" s="63">
        <f>$Q8+0.9%</f>
        <v>0.026500000000000003</v>
      </c>
      <c r="M8" s="63">
        <f>$Q8+4.4%</f>
        <v>0.061500000000000006</v>
      </c>
      <c r="N8" s="63">
        <f>$Q8+2.7%</f>
        <v>0.044500000000000005</v>
      </c>
      <c r="O8" s="63">
        <f>$Q8+9.2%</f>
        <v>0.1095</v>
      </c>
      <c r="P8" s="199">
        <v>34.55</v>
      </c>
      <c r="Q8" s="181">
        <v>0.0175</v>
      </c>
    </row>
    <row r="9" spans="1:17" s="193" customFormat="1" ht="12.75">
      <c r="A9" s="85" t="s">
        <v>1657</v>
      </c>
      <c r="B9" s="86" t="s">
        <v>1658</v>
      </c>
      <c r="C9" s="87" t="str">
        <f t="shared" si="0"/>
        <v>6 lat/a od dnia zakupu</v>
      </c>
      <c r="D9" s="87">
        <v>42826</v>
      </c>
      <c r="E9" s="87">
        <v>42855</v>
      </c>
      <c r="F9" s="88">
        <v>100</v>
      </c>
      <c r="G9" s="190" t="s">
        <v>8</v>
      </c>
      <c r="H9" s="178">
        <v>0.5913</v>
      </c>
      <c r="I9" s="192" t="s">
        <v>8</v>
      </c>
      <c r="J9" s="63">
        <v>0.028</v>
      </c>
      <c r="K9" s="63">
        <f>Q9+1.4%</f>
        <v>0.0315</v>
      </c>
      <c r="L9" s="63">
        <f>$Q9+1.2%</f>
        <v>0.029500000000000002</v>
      </c>
      <c r="M9" s="63">
        <f>$Q9+4.7%</f>
        <v>0.0645</v>
      </c>
      <c r="N9" s="63">
        <f>$Q9+2.4%</f>
        <v>0.0415</v>
      </c>
      <c r="O9" s="63">
        <f>$Q9+8.5%</f>
        <v>0.10250000000000001</v>
      </c>
      <c r="P9" s="199">
        <v>33.44</v>
      </c>
      <c r="Q9" s="181">
        <v>0.0175</v>
      </c>
    </row>
    <row r="10" spans="1:17" s="193" customFormat="1" ht="12.75">
      <c r="A10" s="85" t="s">
        <v>1696</v>
      </c>
      <c r="B10" s="86" t="s">
        <v>1697</v>
      </c>
      <c r="C10" s="87" t="str">
        <f t="shared" si="0"/>
        <v>6 lat/a od dnia zakupu</v>
      </c>
      <c r="D10" s="87">
        <v>42856</v>
      </c>
      <c r="E10" s="87">
        <v>42886</v>
      </c>
      <c r="F10" s="88">
        <v>100</v>
      </c>
      <c r="G10" s="190" t="s">
        <v>8</v>
      </c>
      <c r="H10" s="178">
        <v>0.6807</v>
      </c>
      <c r="I10" s="192" t="s">
        <v>8</v>
      </c>
      <c r="J10" s="63">
        <v>0.028</v>
      </c>
      <c r="K10" s="63">
        <f>Q10+1.3%</f>
        <v>0.030500000000000003</v>
      </c>
      <c r="L10" s="63">
        <f>$Q10+1.7%</f>
        <v>0.0345</v>
      </c>
      <c r="M10" s="63">
        <f>$Q10+4.6%</f>
        <v>0.0635</v>
      </c>
      <c r="N10" s="63">
        <f>$Q10+3.2%</f>
        <v>0.0495</v>
      </c>
      <c r="O10" s="63">
        <f>$Q10+11%</f>
        <v>0.1275</v>
      </c>
      <c r="P10" s="199">
        <v>37.91</v>
      </c>
      <c r="Q10" s="181">
        <v>0.0175</v>
      </c>
    </row>
    <row r="11" spans="1:17" s="193" customFormat="1" ht="12.75">
      <c r="A11" s="85" t="s">
        <v>1708</v>
      </c>
      <c r="B11" s="86" t="s">
        <v>1709</v>
      </c>
      <c r="C11" s="87" t="str">
        <f t="shared" si="0"/>
        <v>6 lat/a od dnia zakupu</v>
      </c>
      <c r="D11" s="87">
        <v>42887</v>
      </c>
      <c r="E11" s="87">
        <v>42916</v>
      </c>
      <c r="F11" s="88">
        <v>100</v>
      </c>
      <c r="G11" s="190" t="s">
        <v>8</v>
      </c>
      <c r="H11" s="178">
        <v>0.558</v>
      </c>
      <c r="I11" s="192" t="s">
        <v>8</v>
      </c>
      <c r="J11" s="63">
        <v>0.028</v>
      </c>
      <c r="K11" s="63">
        <f>Q11+1.6%</f>
        <v>0.0335</v>
      </c>
      <c r="L11" s="63">
        <f>$Q11+2.2%</f>
        <v>0.03950000000000001</v>
      </c>
      <c r="M11" s="63">
        <f>$Q11+3.4%</f>
        <v>0.051500000000000004</v>
      </c>
      <c r="N11" s="63">
        <f>$Q11+4.3%</f>
        <v>0.0605</v>
      </c>
      <c r="O11" s="63">
        <f>$Q11+12.4%</f>
        <v>0.14150000000000001</v>
      </c>
      <c r="P11" s="199">
        <v>40.58</v>
      </c>
      <c r="Q11" s="181">
        <v>0.0175</v>
      </c>
    </row>
    <row r="12" spans="1:17" s="193" customFormat="1" ht="12.75">
      <c r="A12" s="85" t="s">
        <v>1716</v>
      </c>
      <c r="B12" s="86" t="s">
        <v>1722</v>
      </c>
      <c r="C12" s="87" t="str">
        <f t="shared" si="0"/>
        <v>6 lat/a od dnia zakupu</v>
      </c>
      <c r="D12" s="87">
        <v>42917</v>
      </c>
      <c r="E12" s="87">
        <v>42947</v>
      </c>
      <c r="F12" s="88">
        <v>100</v>
      </c>
      <c r="G12" s="190" t="s">
        <v>8</v>
      </c>
      <c r="H12" s="178">
        <v>0.4734</v>
      </c>
      <c r="I12" s="192" t="s">
        <v>8</v>
      </c>
      <c r="J12" s="63">
        <v>0.028</v>
      </c>
      <c r="K12" s="63">
        <f>Q12+1.7%</f>
        <v>0.0345</v>
      </c>
      <c r="L12" s="63">
        <f>$Q12+2.4%</f>
        <v>0.0415</v>
      </c>
      <c r="M12" s="63">
        <f>$Q12+2.9%</f>
        <v>0.0465</v>
      </c>
      <c r="N12" s="63">
        <f>$Q12+4.7%</f>
        <v>0.0645</v>
      </c>
      <c r="O12" s="63">
        <f>$Q12+13.9%</f>
        <v>0.15650000000000003</v>
      </c>
      <c r="P12" s="199">
        <v>42.7</v>
      </c>
      <c r="Q12" s="181">
        <v>0.0175</v>
      </c>
    </row>
    <row r="13" spans="1:17" s="193" customFormat="1" ht="12.75">
      <c r="A13" s="85" t="s">
        <v>1732</v>
      </c>
      <c r="B13" s="86" t="s">
        <v>1733</v>
      </c>
      <c r="C13" s="87" t="str">
        <f t="shared" si="0"/>
        <v>6 lat/a od dnia zakupu</v>
      </c>
      <c r="D13" s="87">
        <v>42948</v>
      </c>
      <c r="E13" s="87">
        <v>42978</v>
      </c>
      <c r="F13" s="88">
        <v>100</v>
      </c>
      <c r="G13" s="190" t="s">
        <v>8</v>
      </c>
      <c r="H13" s="178">
        <v>0.7888</v>
      </c>
      <c r="I13" s="192" t="s">
        <v>8</v>
      </c>
      <c r="J13" s="63">
        <v>0.028</v>
      </c>
      <c r="K13" s="63">
        <f>Q13+2%</f>
        <v>0.037500000000000006</v>
      </c>
      <c r="L13" s="63">
        <f>$Q13+2.6%</f>
        <v>0.043500000000000004</v>
      </c>
      <c r="M13" s="63">
        <f>$Q13+3.3%</f>
        <v>0.0505</v>
      </c>
      <c r="N13" s="63">
        <f>$Q13+4.4%</f>
        <v>0.061500000000000006</v>
      </c>
      <c r="O13" s="63">
        <f>$Q13+15.5%</f>
        <v>0.1725</v>
      </c>
      <c r="P13" s="199">
        <v>45.51</v>
      </c>
      <c r="Q13" s="181">
        <v>0.0175</v>
      </c>
    </row>
    <row r="14" spans="1:17" s="193" customFormat="1" ht="12.75">
      <c r="A14" s="85" t="s">
        <v>1744</v>
      </c>
      <c r="B14" s="86" t="s">
        <v>1745</v>
      </c>
      <c r="C14" s="87" t="str">
        <f t="shared" si="0"/>
        <v>6 lat/a od dnia zakupu</v>
      </c>
      <c r="D14" s="87">
        <v>42979</v>
      </c>
      <c r="E14" s="87">
        <v>43008</v>
      </c>
      <c r="F14" s="88">
        <v>100</v>
      </c>
      <c r="G14" s="190" t="s">
        <v>8</v>
      </c>
      <c r="H14" s="178">
        <v>0.6971</v>
      </c>
      <c r="I14" s="192" t="s">
        <v>8</v>
      </c>
      <c r="J14" s="63">
        <v>0.028</v>
      </c>
      <c r="K14" s="63">
        <f>Q14+2%</f>
        <v>0.037500000000000006</v>
      </c>
      <c r="L14" s="63">
        <f>$Q14+2.9%</f>
        <v>0.0465</v>
      </c>
      <c r="M14" s="63">
        <f>$Q14+3%</f>
        <v>0.0475</v>
      </c>
      <c r="N14" s="63">
        <f>$Q14+5%</f>
        <v>0.0675</v>
      </c>
      <c r="O14" s="63">
        <f>$Q14+15.6%</f>
        <v>0.1735</v>
      </c>
      <c r="P14" s="199">
        <v>46.46</v>
      </c>
      <c r="Q14" s="181">
        <v>0.0175</v>
      </c>
    </row>
    <row r="15" spans="1:17" s="193" customFormat="1" ht="12.75">
      <c r="A15" s="85" t="s">
        <v>1760</v>
      </c>
      <c r="B15" s="86" t="s">
        <v>1761</v>
      </c>
      <c r="C15" s="87" t="str">
        <f t="shared" si="0"/>
        <v>6 lat/a od dnia zakupu</v>
      </c>
      <c r="D15" s="87">
        <v>43009</v>
      </c>
      <c r="E15" s="87">
        <v>43039</v>
      </c>
      <c r="F15" s="88">
        <v>100</v>
      </c>
      <c r="G15" s="190" t="s">
        <v>8</v>
      </c>
      <c r="H15" s="178">
        <v>0.6964</v>
      </c>
      <c r="I15" s="192" t="s">
        <v>8</v>
      </c>
      <c r="J15" s="63">
        <v>0.028</v>
      </c>
      <c r="K15" s="63">
        <f>Q15+2%</f>
        <v>0.037500000000000006</v>
      </c>
      <c r="L15" s="63">
        <f>$Q15+2.9%</f>
        <v>0.0465</v>
      </c>
      <c r="M15" s="63">
        <f>$Q15+2.9%</f>
        <v>0.0465</v>
      </c>
      <c r="N15" s="63">
        <f>$Q15+5.5%</f>
        <v>0.07250000000000001</v>
      </c>
      <c r="O15" s="63">
        <f>$Q15+16.1%</f>
        <v>0.1785</v>
      </c>
      <c r="P15" s="199">
        <v>47.63</v>
      </c>
      <c r="Q15" s="181">
        <v>0.0175</v>
      </c>
    </row>
    <row r="16" spans="1:17" s="193" customFormat="1" ht="12.75">
      <c r="A16" s="85" t="s">
        <v>1774</v>
      </c>
      <c r="B16" s="86" t="s">
        <v>1775</v>
      </c>
      <c r="C16" s="87" t="str">
        <f t="shared" si="0"/>
        <v>6 lat/a od dnia zakupu</v>
      </c>
      <c r="D16" s="87">
        <v>43040</v>
      </c>
      <c r="E16" s="87">
        <v>43069</v>
      </c>
      <c r="F16" s="88">
        <v>100</v>
      </c>
      <c r="G16" s="190" t="s">
        <v>8</v>
      </c>
      <c r="H16" s="178">
        <v>0.94</v>
      </c>
      <c r="I16" s="192" t="s">
        <v>8</v>
      </c>
      <c r="J16" s="63">
        <v>0.028</v>
      </c>
      <c r="K16" s="63">
        <f>$Q16+1.9%</f>
        <v>0.036500000000000005</v>
      </c>
      <c r="L16" s="63">
        <f>$Q16+2.6%</f>
        <v>0.043500000000000004</v>
      </c>
      <c r="M16" s="63">
        <f>$Q16+3.2%</f>
        <v>0.0495</v>
      </c>
      <c r="N16" s="63">
        <f>$Q16+5.9%</f>
        <v>0.07650000000000001</v>
      </c>
      <c r="O16" s="63">
        <f>$Q16+17.2%</f>
        <v>0.1895</v>
      </c>
      <c r="P16" s="199">
        <v>49.42</v>
      </c>
      <c r="Q16" s="181">
        <v>0.0175</v>
      </c>
    </row>
    <row r="17" spans="1:17" s="193" customFormat="1" ht="12.75">
      <c r="A17" s="90" t="s">
        <v>1788</v>
      </c>
      <c r="B17" s="91" t="s">
        <v>1789</v>
      </c>
      <c r="C17" s="92" t="str">
        <f t="shared" si="0"/>
        <v>6 lat/a od dnia zakupu</v>
      </c>
      <c r="D17" s="92">
        <v>43070</v>
      </c>
      <c r="E17" s="92">
        <v>43100</v>
      </c>
      <c r="F17" s="93">
        <v>100</v>
      </c>
      <c r="G17" s="194" t="s">
        <v>8</v>
      </c>
      <c r="H17" s="183">
        <v>1.2142</v>
      </c>
      <c r="I17" s="196" t="s">
        <v>8</v>
      </c>
      <c r="J17" s="65">
        <v>0.028</v>
      </c>
      <c r="K17" s="65">
        <f>$Q17+1.8%</f>
        <v>0.035500000000000004</v>
      </c>
      <c r="L17" s="65">
        <f>$Q17+2.5%</f>
        <v>0.0425</v>
      </c>
      <c r="M17" s="65">
        <f>$Q17+3.1%</f>
        <v>0.0485</v>
      </c>
      <c r="N17" s="63">
        <f>$Q17+6.8%</f>
        <v>0.0855</v>
      </c>
      <c r="O17" s="65">
        <f>$Q17+17.9%</f>
        <v>0.1965</v>
      </c>
      <c r="P17" s="200">
        <v>51.12</v>
      </c>
      <c r="Q17" s="184">
        <v>0.0175</v>
      </c>
    </row>
    <row r="18" spans="1:17" s="193" customFormat="1" ht="12.75">
      <c r="A18" s="85" t="s">
        <v>1797</v>
      </c>
      <c r="B18" s="86" t="s">
        <v>1804</v>
      </c>
      <c r="C18" s="87" t="str">
        <f t="shared" si="0"/>
        <v>6 lat/a od dnia zakupu</v>
      </c>
      <c r="D18" s="87">
        <v>43101</v>
      </c>
      <c r="E18" s="87">
        <v>43131</v>
      </c>
      <c r="F18" s="88">
        <v>100</v>
      </c>
      <c r="G18" s="197" t="s">
        <v>8</v>
      </c>
      <c r="H18" s="178">
        <v>1.2667</v>
      </c>
      <c r="I18" s="192" t="s">
        <v>8</v>
      </c>
      <c r="J18" s="63">
        <v>0.028</v>
      </c>
      <c r="K18" s="66">
        <f>$Q18+1.3%</f>
        <v>0.030500000000000003</v>
      </c>
      <c r="L18" s="66">
        <f>$Q18+2.6%</f>
        <v>0.043500000000000004</v>
      </c>
      <c r="M18" s="66">
        <f>$Q18+3%</f>
        <v>0.0475</v>
      </c>
      <c r="N18" s="66">
        <f>$Q18+7.8%</f>
        <v>0.0955</v>
      </c>
      <c r="O18" s="66">
        <f>$Q18+17.5%</f>
        <v>0.1925</v>
      </c>
      <c r="P18" s="199">
        <v>51.27</v>
      </c>
      <c r="Q18" s="181">
        <v>0.0175</v>
      </c>
    </row>
    <row r="19" spans="1:17" s="193" customFormat="1" ht="12.75">
      <c r="A19" s="85" t="s">
        <v>1811</v>
      </c>
      <c r="B19" s="86" t="s">
        <v>1818</v>
      </c>
      <c r="C19" s="87" t="str">
        <f t="shared" si="0"/>
        <v>6 lat/a od dnia zakupu</v>
      </c>
      <c r="D19" s="87">
        <v>43132</v>
      </c>
      <c r="E19" s="87">
        <v>43159</v>
      </c>
      <c r="F19" s="88">
        <v>100</v>
      </c>
      <c r="G19" s="197" t="s">
        <v>8</v>
      </c>
      <c r="H19" s="178">
        <v>0.9563</v>
      </c>
      <c r="I19" s="192" t="s">
        <v>8</v>
      </c>
      <c r="J19" s="63">
        <v>0.028</v>
      </c>
      <c r="K19" s="63">
        <f>$Q19+1.1%</f>
        <v>0.028500000000000004</v>
      </c>
      <c r="L19" s="63">
        <f>$Q19+3.4%</f>
        <v>0.051500000000000004</v>
      </c>
      <c r="M19" s="63">
        <f>$Q19+2.4%</f>
        <v>0.0415</v>
      </c>
      <c r="N19" s="63">
        <f>$Q19+8.6%</f>
        <v>0.1035</v>
      </c>
      <c r="O19" s="63">
        <f>$Q19+16.6%</f>
        <v>0.1835</v>
      </c>
      <c r="P19" s="199">
        <v>51.22</v>
      </c>
      <c r="Q19" s="181">
        <v>0.0175</v>
      </c>
    </row>
    <row r="20" spans="1:17" s="193" customFormat="1" ht="12.75">
      <c r="A20" s="85" t="s">
        <v>1830</v>
      </c>
      <c r="B20" s="86" t="s">
        <v>1831</v>
      </c>
      <c r="C20" s="87" t="str">
        <f t="shared" si="0"/>
        <v>6 lat/a od dnia zakupu</v>
      </c>
      <c r="D20" s="87">
        <v>43160</v>
      </c>
      <c r="E20" s="87">
        <v>43190</v>
      </c>
      <c r="F20" s="88">
        <v>100</v>
      </c>
      <c r="G20" s="197" t="s">
        <v>8</v>
      </c>
      <c r="H20" s="178">
        <v>1.3275</v>
      </c>
      <c r="I20" s="192" t="s">
        <v>8</v>
      </c>
      <c r="J20" s="63">
        <v>0.028</v>
      </c>
      <c r="K20" s="63">
        <f>$Q20+0.9%</f>
        <v>0.026500000000000003</v>
      </c>
      <c r="L20" s="63">
        <f>$Q20+4.4%</f>
        <v>0.061500000000000006</v>
      </c>
      <c r="M20" s="63">
        <f>$Q20+2.7%</f>
        <v>0.044500000000000005</v>
      </c>
      <c r="N20" s="63">
        <f>$Q20+9.2%</f>
        <v>0.1095</v>
      </c>
      <c r="O20" s="63">
        <f>$Q20+17.2%</f>
        <v>0.1895</v>
      </c>
      <c r="P20" s="199">
        <v>54.41</v>
      </c>
      <c r="Q20" s="181">
        <v>0.0175</v>
      </c>
    </row>
    <row r="21" spans="1:17" s="193" customFormat="1" ht="12.75">
      <c r="A21" s="85" t="s">
        <v>1844</v>
      </c>
      <c r="B21" s="86" t="s">
        <v>1845</v>
      </c>
      <c r="C21" s="87" t="str">
        <f t="shared" si="0"/>
        <v>6 lat/a od dnia zakupu</v>
      </c>
      <c r="D21" s="87">
        <v>43191</v>
      </c>
      <c r="E21" s="87">
        <v>43220</v>
      </c>
      <c r="F21" s="88">
        <v>100</v>
      </c>
      <c r="G21" s="197" t="s">
        <v>8</v>
      </c>
      <c r="H21" s="178">
        <v>0.8158</v>
      </c>
      <c r="I21" s="192" t="s">
        <v>8</v>
      </c>
      <c r="J21" s="63">
        <v>0.028</v>
      </c>
      <c r="K21" s="63">
        <f>$Q21+1.2%</f>
        <v>0.029500000000000002</v>
      </c>
      <c r="L21" s="63">
        <f>$Q21+4.7%</f>
        <v>0.0645</v>
      </c>
      <c r="M21" s="63">
        <f>$Q21+2.4%</f>
        <v>0.0415</v>
      </c>
      <c r="N21" s="63">
        <f>$Q21+8.5%</f>
        <v>0.10250000000000001</v>
      </c>
      <c r="O21" s="63">
        <f>$Q21+18.4%</f>
        <v>0.2015</v>
      </c>
      <c r="P21" s="199">
        <v>55.43</v>
      </c>
      <c r="Q21" s="181">
        <v>0.0175</v>
      </c>
    </row>
    <row r="22" spans="1:17" s="193" customFormat="1" ht="12.75">
      <c r="A22" s="85" t="s">
        <v>1857</v>
      </c>
      <c r="B22" s="86" t="s">
        <v>1858</v>
      </c>
      <c r="C22" s="87" t="str">
        <f t="shared" si="0"/>
        <v>6 lat/a od dnia zakupu</v>
      </c>
      <c r="D22" s="87">
        <v>43221</v>
      </c>
      <c r="E22" s="87">
        <v>43251</v>
      </c>
      <c r="F22" s="88">
        <v>100</v>
      </c>
      <c r="G22" s="197" t="s">
        <v>8</v>
      </c>
      <c r="H22" s="178">
        <v>1.0148</v>
      </c>
      <c r="I22" s="192" t="s">
        <v>8</v>
      </c>
      <c r="J22" s="63">
        <v>0.028</v>
      </c>
      <c r="K22" s="63">
        <f>$Q22+1.7%</f>
        <v>0.0345</v>
      </c>
      <c r="L22" s="63">
        <f>$Q22+4.6%</f>
        <v>0.0635</v>
      </c>
      <c r="M22" s="63">
        <f>$Q22+3.2%</f>
        <v>0.0495</v>
      </c>
      <c r="N22" s="63">
        <f>$Q22+11%</f>
        <v>0.1275</v>
      </c>
      <c r="O22" s="63">
        <f>$Q22+16.1%</f>
        <v>0.1785</v>
      </c>
      <c r="P22" s="199">
        <v>57.72</v>
      </c>
      <c r="Q22" s="181">
        <v>0.0175</v>
      </c>
    </row>
    <row r="23" spans="1:17" s="193" customFormat="1" ht="12.75">
      <c r="A23" s="85" t="s">
        <v>1877</v>
      </c>
      <c r="B23" s="86" t="s">
        <v>1878</v>
      </c>
      <c r="C23" s="87" t="str">
        <f t="shared" si="0"/>
        <v>6 lat/a od dnia zakupu</v>
      </c>
      <c r="D23" s="87">
        <v>43252</v>
      </c>
      <c r="E23" s="87">
        <v>43281</v>
      </c>
      <c r="F23" s="88">
        <v>100</v>
      </c>
      <c r="G23" s="197" t="s">
        <v>8</v>
      </c>
      <c r="H23" s="178">
        <v>1.1513</v>
      </c>
      <c r="I23" s="192" t="s">
        <v>8</v>
      </c>
      <c r="J23" s="63">
        <v>0.028</v>
      </c>
      <c r="K23" s="63">
        <f>$Q23+2.2%</f>
        <v>0.03950000000000001</v>
      </c>
      <c r="L23" s="63">
        <f>$Q23+3.4%</f>
        <v>0.051500000000000004</v>
      </c>
      <c r="M23" s="63">
        <f>$Q23+4.3%</f>
        <v>0.0605</v>
      </c>
      <c r="N23" s="63">
        <f>$Q23+12.4%</f>
        <v>0.14150000000000001</v>
      </c>
      <c r="O23" s="63">
        <f>$Q23+14.7%</f>
        <v>0.16449999999999998</v>
      </c>
      <c r="P23" s="199">
        <v>58.4</v>
      </c>
      <c r="Q23" s="181">
        <v>0.0175</v>
      </c>
    </row>
    <row r="24" spans="1:17" s="193" customFormat="1" ht="12.75">
      <c r="A24" s="85" t="s">
        <v>1893</v>
      </c>
      <c r="B24" s="86" t="s">
        <v>1894</v>
      </c>
      <c r="C24" s="87" t="str">
        <f t="shared" si="0"/>
        <v>6 lat/a od dnia zakupu</v>
      </c>
      <c r="D24" s="87">
        <v>43282</v>
      </c>
      <c r="E24" s="87">
        <v>43312</v>
      </c>
      <c r="F24" s="88">
        <v>100</v>
      </c>
      <c r="G24" s="197" t="s">
        <v>8</v>
      </c>
      <c r="H24" s="178">
        <v>1.1248</v>
      </c>
      <c r="I24" s="192" t="s">
        <v>8</v>
      </c>
      <c r="J24" s="63">
        <v>0.028</v>
      </c>
      <c r="K24" s="63">
        <f>$Q24+2.4%</f>
        <v>0.0415</v>
      </c>
      <c r="L24" s="63">
        <f>$Q24+2.9%</f>
        <v>0.0465</v>
      </c>
      <c r="M24" s="63">
        <f>$Q24+4.7%</f>
        <v>0.0645</v>
      </c>
      <c r="N24" s="63">
        <f>$Q24+13.9%</f>
        <v>0.15650000000000003</v>
      </c>
      <c r="O24" s="63">
        <f>$Q24+13%</f>
        <v>0.14750000000000002</v>
      </c>
      <c r="P24" s="199">
        <v>58.28</v>
      </c>
      <c r="Q24" s="181">
        <v>0.0175</v>
      </c>
    </row>
    <row r="25" spans="1:17" s="193" customFormat="1" ht="12.75">
      <c r="A25" s="85" t="s">
        <v>1907</v>
      </c>
      <c r="B25" s="86" t="s">
        <v>1908</v>
      </c>
      <c r="C25" s="87" t="str">
        <f t="shared" si="0"/>
        <v>6 lat/a od dnia zakupu</v>
      </c>
      <c r="D25" s="87">
        <v>43313</v>
      </c>
      <c r="E25" s="87">
        <v>43343</v>
      </c>
      <c r="F25" s="88">
        <v>100</v>
      </c>
      <c r="G25" s="197" t="s">
        <v>8</v>
      </c>
      <c r="H25" s="178">
        <v>0.9497</v>
      </c>
      <c r="I25" s="192" t="s">
        <v>8</v>
      </c>
      <c r="J25" s="63">
        <v>0.028</v>
      </c>
      <c r="K25" s="63">
        <f>$Q25+2.6%</f>
        <v>0.043500000000000004</v>
      </c>
      <c r="L25" s="63">
        <f>$Q25+3.3%</f>
        <v>0.0505</v>
      </c>
      <c r="M25" s="63">
        <f>$Q25+4.4%</f>
        <v>0.061500000000000006</v>
      </c>
      <c r="N25" s="63">
        <f>$Q25+15.5%</f>
        <v>0.1725</v>
      </c>
      <c r="O25" s="63">
        <f>$Q25+11.5%</f>
        <v>0.1325</v>
      </c>
      <c r="P25" s="199">
        <v>58.84</v>
      </c>
      <c r="Q25" s="181">
        <v>0.0175</v>
      </c>
    </row>
    <row r="26" spans="1:17" s="193" customFormat="1" ht="12.75">
      <c r="A26" s="85" t="s">
        <v>1921</v>
      </c>
      <c r="B26" s="86" t="s">
        <v>1922</v>
      </c>
      <c r="C26" s="87" t="str">
        <f t="shared" si="0"/>
        <v>6 lat/a od dnia zakupu</v>
      </c>
      <c r="D26" s="87">
        <v>43344</v>
      </c>
      <c r="E26" s="87">
        <v>43373</v>
      </c>
      <c r="F26" s="88">
        <v>100</v>
      </c>
      <c r="G26" s="197" t="s">
        <v>8</v>
      </c>
      <c r="H26" s="178">
        <v>1.4497</v>
      </c>
      <c r="I26" s="192" t="s">
        <v>8</v>
      </c>
      <c r="J26" s="63">
        <v>0.028</v>
      </c>
      <c r="K26" s="63">
        <f>$Q26+2.9%</f>
        <v>0.0465</v>
      </c>
      <c r="L26" s="63">
        <f>$Q26+3%</f>
        <v>0.0475</v>
      </c>
      <c r="M26" s="63">
        <f>$Q26+5%</f>
        <v>0.0675</v>
      </c>
      <c r="N26" s="63">
        <f>$Q26+15.6%</f>
        <v>0.1735</v>
      </c>
      <c r="O26" s="63">
        <f>$Q26+10.8%</f>
        <v>0.1255</v>
      </c>
      <c r="P26" s="199">
        <v>58.88</v>
      </c>
      <c r="Q26" s="181">
        <v>0.0175</v>
      </c>
    </row>
    <row r="27" spans="1:17" s="193" customFormat="1" ht="12.75">
      <c r="A27" s="85" t="s">
        <v>1935</v>
      </c>
      <c r="B27" s="86" t="s">
        <v>1936</v>
      </c>
      <c r="C27" s="87" t="str">
        <f t="shared" si="0"/>
        <v>6 lat/a od dnia zakupu</v>
      </c>
      <c r="D27" s="87">
        <v>43374</v>
      </c>
      <c r="E27" s="87">
        <v>43404</v>
      </c>
      <c r="F27" s="88">
        <v>100</v>
      </c>
      <c r="G27" s="197" t="s">
        <v>8</v>
      </c>
      <c r="H27" s="178">
        <v>1.1797</v>
      </c>
      <c r="I27" s="192" t="s">
        <v>8</v>
      </c>
      <c r="J27" s="63">
        <v>0.028</v>
      </c>
      <c r="K27" s="63">
        <f>$Q27+2.9%</f>
        <v>0.0465</v>
      </c>
      <c r="L27" s="63">
        <f>$Q27+2.9%</f>
        <v>0.0465</v>
      </c>
      <c r="M27" s="63">
        <f>$Q27+5.5%</f>
        <v>0.07250000000000001</v>
      </c>
      <c r="N27" s="63">
        <f>$Q27+16.1%</f>
        <v>0.1785</v>
      </c>
      <c r="O27" s="63">
        <f>$Q27+10.1%</f>
        <v>0.1185</v>
      </c>
      <c r="P27" s="199">
        <v>59.16</v>
      </c>
      <c r="Q27" s="181">
        <v>0.0175</v>
      </c>
    </row>
    <row r="28" spans="1:17" s="193" customFormat="1" ht="12.75">
      <c r="A28" s="85" t="s">
        <v>1949</v>
      </c>
      <c r="B28" s="86" t="s">
        <v>1950</v>
      </c>
      <c r="C28" s="87" t="str">
        <f t="shared" si="0"/>
        <v>6 lat/a od dnia zakupu</v>
      </c>
      <c r="D28" s="87">
        <v>43405</v>
      </c>
      <c r="E28" s="87">
        <v>43434</v>
      </c>
      <c r="F28" s="88">
        <v>100</v>
      </c>
      <c r="G28" s="197" t="s">
        <v>8</v>
      </c>
      <c r="H28" s="178">
        <v>1.4914</v>
      </c>
      <c r="I28" s="192" t="s">
        <v>8</v>
      </c>
      <c r="J28" s="63">
        <v>0.028</v>
      </c>
      <c r="K28" s="63">
        <f>$Q28+2.6%</f>
        <v>0.043500000000000004</v>
      </c>
      <c r="L28" s="63">
        <f>$Q28+3.2%</f>
        <v>0.0495</v>
      </c>
      <c r="M28" s="63">
        <f>$Q28+5.9%</f>
        <v>0.07650000000000001</v>
      </c>
      <c r="N28" s="63">
        <f>$Q28+17.2%</f>
        <v>0.1895</v>
      </c>
      <c r="O28" s="63">
        <f>$Q28+8.2%</f>
        <v>0.09949999999999999</v>
      </c>
      <c r="P28" s="199">
        <v>58.5</v>
      </c>
      <c r="Q28" s="181">
        <v>0.0175</v>
      </c>
    </row>
    <row r="29" spans="1:17" s="193" customFormat="1" ht="12.75">
      <c r="A29" s="90" t="s">
        <v>1963</v>
      </c>
      <c r="B29" s="91" t="s">
        <v>1964</v>
      </c>
      <c r="C29" s="92" t="str">
        <f t="shared" si="0"/>
        <v>6 lat/a od dnia zakupu</v>
      </c>
      <c r="D29" s="92">
        <v>43435</v>
      </c>
      <c r="E29" s="92">
        <v>43465</v>
      </c>
      <c r="F29" s="93">
        <v>100</v>
      </c>
      <c r="G29" s="194" t="s">
        <v>8</v>
      </c>
      <c r="H29" s="183">
        <v>1.0858</v>
      </c>
      <c r="I29" s="196" t="s">
        <v>8</v>
      </c>
      <c r="J29" s="65">
        <v>0.028</v>
      </c>
      <c r="K29" s="65">
        <f>$Q29+2.5%</f>
        <v>0.0425</v>
      </c>
      <c r="L29" s="65">
        <f>$Q29+3.1%</f>
        <v>0.0485</v>
      </c>
      <c r="M29" s="63">
        <f>$Q29+6.8%</f>
        <v>0.0855</v>
      </c>
      <c r="N29" s="63">
        <f>$Q29+17.9%</f>
        <v>0.1965</v>
      </c>
      <c r="O29" s="63">
        <f>$Q29+6.6%</f>
        <v>0.0835</v>
      </c>
      <c r="P29" s="200">
        <v>58.13</v>
      </c>
      <c r="Q29" s="184">
        <v>0.0175</v>
      </c>
    </row>
    <row r="30" spans="1:17" s="193" customFormat="1" ht="12.75">
      <c r="A30" s="113" t="s">
        <v>1977</v>
      </c>
      <c r="B30" s="114" t="s">
        <v>1978</v>
      </c>
      <c r="C30" s="136" t="str">
        <f t="shared" si="0"/>
        <v>6 lat/a od dnia zakupu</v>
      </c>
      <c r="D30" s="136">
        <v>43466</v>
      </c>
      <c r="E30" s="136">
        <v>43496</v>
      </c>
      <c r="F30" s="137">
        <v>100</v>
      </c>
      <c r="G30" s="203" t="s">
        <v>8</v>
      </c>
      <c r="H30" s="188">
        <v>1.4437</v>
      </c>
      <c r="I30" s="204" t="s">
        <v>8</v>
      </c>
      <c r="J30" s="66">
        <v>0.028</v>
      </c>
      <c r="K30" s="66">
        <f>$Q30+2.6%</f>
        <v>0.043500000000000004</v>
      </c>
      <c r="L30" s="66">
        <f>$Q30+3%</f>
        <v>0.0475</v>
      </c>
      <c r="M30" s="66">
        <f>$Q30+7.8%</f>
        <v>0.0955</v>
      </c>
      <c r="N30" s="66">
        <f>$Q30+17.5%</f>
        <v>0.1925</v>
      </c>
      <c r="O30" s="66">
        <f>$Q30+6.6%</f>
        <v>0.0835</v>
      </c>
      <c r="P30" s="198">
        <v>59.05</v>
      </c>
      <c r="Q30" s="179">
        <v>0.0175</v>
      </c>
    </row>
    <row r="31" spans="1:17" s="193" customFormat="1" ht="12.75">
      <c r="A31" s="85" t="s">
        <v>1991</v>
      </c>
      <c r="B31" s="86" t="s">
        <v>1994</v>
      </c>
      <c r="C31" s="87" t="str">
        <f t="shared" si="0"/>
        <v>6 lat/a od dnia zakupu</v>
      </c>
      <c r="D31" s="87">
        <v>43497</v>
      </c>
      <c r="E31" s="87">
        <v>43524</v>
      </c>
      <c r="F31" s="88">
        <v>100</v>
      </c>
      <c r="G31" s="197" t="s">
        <v>8</v>
      </c>
      <c r="H31" s="178">
        <v>1.1781</v>
      </c>
      <c r="I31" s="192" t="s">
        <v>8</v>
      </c>
      <c r="J31" s="63">
        <v>0.028</v>
      </c>
      <c r="K31" s="63">
        <f>$Q31+3.4%</f>
        <v>0.051500000000000004</v>
      </c>
      <c r="L31" s="63">
        <f>$Q31+2.4%</f>
        <v>0.0415</v>
      </c>
      <c r="M31" s="63">
        <f>$Q31+8.6%</f>
        <v>0.1035</v>
      </c>
      <c r="N31" s="63">
        <f>$Q31+16.6%</f>
        <v>0.1835</v>
      </c>
      <c r="O31" s="63">
        <f>$Q31+6.2%</f>
        <v>0.0795</v>
      </c>
      <c r="P31" s="199">
        <v>58.72</v>
      </c>
      <c r="Q31" s="181">
        <v>0.0175</v>
      </c>
    </row>
    <row r="32" spans="1:17" s="193" customFormat="1" ht="12.75">
      <c r="A32" s="85" t="s">
        <v>2005</v>
      </c>
      <c r="B32" s="86" t="s">
        <v>2006</v>
      </c>
      <c r="C32" s="87" t="s">
        <v>2024</v>
      </c>
      <c r="D32" s="87">
        <v>43525</v>
      </c>
      <c r="E32" s="87">
        <v>43555</v>
      </c>
      <c r="F32" s="88">
        <v>100</v>
      </c>
      <c r="G32" s="197" t="s">
        <v>8</v>
      </c>
      <c r="H32" s="178">
        <v>1.574</v>
      </c>
      <c r="I32" s="192" t="s">
        <v>8</v>
      </c>
      <c r="J32" s="63">
        <v>0.028</v>
      </c>
      <c r="K32" s="63">
        <f>$Q32+4.4%</f>
        <v>0.061500000000000006</v>
      </c>
      <c r="L32" s="63">
        <f>$Q32+2.7%</f>
        <v>0.044500000000000005</v>
      </c>
      <c r="M32" s="63">
        <f>$Q32+9.2%</f>
        <v>0.1095</v>
      </c>
      <c r="N32" s="63">
        <f>$Q32+17.2%</f>
        <v>0.1895</v>
      </c>
      <c r="O32" s="63">
        <f>$Q32+3.9%</f>
        <v>0.0565</v>
      </c>
      <c r="P32" s="199">
        <v>58.92</v>
      </c>
      <c r="Q32" s="181">
        <v>0.0175</v>
      </c>
    </row>
    <row r="33" spans="1:17" s="193" customFormat="1" ht="12.75">
      <c r="A33" s="85" t="s">
        <v>2025</v>
      </c>
      <c r="B33" s="86" t="s">
        <v>2026</v>
      </c>
      <c r="C33" s="87" t="str">
        <f t="shared" si="0"/>
        <v>6 lat/a od dnia zakupu</v>
      </c>
      <c r="D33" s="87">
        <v>43556</v>
      </c>
      <c r="E33" s="87">
        <v>43585</v>
      </c>
      <c r="F33" s="88">
        <v>100</v>
      </c>
      <c r="G33" s="197" t="s">
        <v>8</v>
      </c>
      <c r="H33" s="178">
        <v>1.4649</v>
      </c>
      <c r="I33" s="192" t="s">
        <v>8</v>
      </c>
      <c r="J33" s="63">
        <v>0.028</v>
      </c>
      <c r="K33" s="63">
        <f>$Q33+4.7%</f>
        <v>0.0645</v>
      </c>
      <c r="L33" s="63">
        <f>$Q33+2.4%</f>
        <v>0.0415</v>
      </c>
      <c r="M33" s="63">
        <f>$Q33+8.5%</f>
        <v>0.10250000000000001</v>
      </c>
      <c r="N33" s="63">
        <f>$Q33+18.4%</f>
        <v>0.2015</v>
      </c>
      <c r="O33" s="63">
        <f>$Q33+2.8%</f>
        <v>0.0455</v>
      </c>
      <c r="P33" s="199">
        <v>57.84</v>
      </c>
      <c r="Q33" s="181">
        <v>0.0175</v>
      </c>
    </row>
    <row r="34" spans="1:17" s="193" customFormat="1" ht="12.75">
      <c r="A34" s="85" t="s">
        <v>2040</v>
      </c>
      <c r="B34" s="86" t="s">
        <v>2041</v>
      </c>
      <c r="C34" s="87" t="str">
        <f t="shared" si="0"/>
        <v>6 lat/a od dnia zakupu</v>
      </c>
      <c r="D34" s="87">
        <v>43586</v>
      </c>
      <c r="E34" s="87">
        <v>43616</v>
      </c>
      <c r="F34" s="88">
        <v>100</v>
      </c>
      <c r="G34" s="197" t="s">
        <v>8</v>
      </c>
      <c r="H34" s="178">
        <v>1.5422</v>
      </c>
      <c r="I34" s="192" t="s">
        <v>8</v>
      </c>
      <c r="J34" s="63">
        <v>0.028</v>
      </c>
      <c r="K34" s="63">
        <f>$Q34+4.6%</f>
        <v>0.0635</v>
      </c>
      <c r="L34" s="63">
        <f>$Q34+3.2%</f>
        <v>0.0495</v>
      </c>
      <c r="M34" s="63">
        <f>$Q34+11%</f>
        <v>0.1275</v>
      </c>
      <c r="N34" s="63">
        <f>$Q34+16.1%</f>
        <v>0.1785</v>
      </c>
      <c r="O34" s="63"/>
      <c r="P34" s="199"/>
      <c r="Q34" s="181">
        <v>0.0175</v>
      </c>
    </row>
    <row r="35" spans="1:17" s="193" customFormat="1" ht="12.75">
      <c r="A35" s="85" t="s">
        <v>2055</v>
      </c>
      <c r="B35" s="86" t="s">
        <v>2056</v>
      </c>
      <c r="C35" s="87" t="str">
        <f t="shared" si="0"/>
        <v>6 lat/a od dnia zakupu</v>
      </c>
      <c r="D35" s="87">
        <v>43617</v>
      </c>
      <c r="E35" s="87">
        <v>43646</v>
      </c>
      <c r="F35" s="88">
        <v>100</v>
      </c>
      <c r="G35" s="197" t="s">
        <v>8</v>
      </c>
      <c r="H35" s="178">
        <v>1.3264</v>
      </c>
      <c r="I35" s="192" t="s">
        <v>8</v>
      </c>
      <c r="J35" s="63">
        <v>0.028</v>
      </c>
      <c r="K35" s="63">
        <f>$Q35+3.4%</f>
        <v>0.051500000000000004</v>
      </c>
      <c r="L35" s="63">
        <f>$Q35+4.3%</f>
        <v>0.0605</v>
      </c>
      <c r="M35" s="63">
        <f>$Q35+12.4%</f>
        <v>0.14150000000000001</v>
      </c>
      <c r="N35" s="63">
        <f>$Q35+14.7%</f>
        <v>0.16449999999999998</v>
      </c>
      <c r="O35" s="63"/>
      <c r="P35" s="199"/>
      <c r="Q35" s="181">
        <v>0.0175</v>
      </c>
    </row>
    <row r="36" spans="1:17" s="193" customFormat="1" ht="12.75">
      <c r="A36" s="85" t="s">
        <v>2070</v>
      </c>
      <c r="B36" s="86" t="s">
        <v>2071</v>
      </c>
      <c r="C36" s="87" t="str">
        <f t="shared" si="0"/>
        <v>6 lat/a od dnia zakupu</v>
      </c>
      <c r="D36" s="87">
        <v>43647</v>
      </c>
      <c r="E36" s="87">
        <v>43677</v>
      </c>
      <c r="F36" s="88">
        <v>100</v>
      </c>
      <c r="G36" s="197" t="s">
        <v>8</v>
      </c>
      <c r="H36" s="178">
        <v>2.4091</v>
      </c>
      <c r="I36" s="192" t="s">
        <v>8</v>
      </c>
      <c r="J36" s="63">
        <v>0.028</v>
      </c>
      <c r="K36" s="63">
        <f>$Q36+2.9%</f>
        <v>0.0465</v>
      </c>
      <c r="L36" s="63">
        <f>$Q36+4.7%</f>
        <v>0.0645</v>
      </c>
      <c r="M36" s="63">
        <f>$Q36+13.9%</f>
        <v>0.15650000000000003</v>
      </c>
      <c r="N36" s="63">
        <f>$Q36+13%</f>
        <v>0.14750000000000002</v>
      </c>
      <c r="O36" s="63"/>
      <c r="P36" s="199"/>
      <c r="Q36" s="181">
        <v>0.0175</v>
      </c>
    </row>
    <row r="37" spans="1:17" s="193" customFormat="1" ht="12.75">
      <c r="A37" s="85" t="s">
        <v>2084</v>
      </c>
      <c r="B37" s="86" t="s">
        <v>2085</v>
      </c>
      <c r="C37" s="87" t="str">
        <f t="shared" si="0"/>
        <v>6 lat/a od dnia zakupu</v>
      </c>
      <c r="D37" s="87">
        <v>43678</v>
      </c>
      <c r="E37" s="87">
        <v>43708</v>
      </c>
      <c r="F37" s="88">
        <v>100</v>
      </c>
      <c r="G37" s="197" t="s">
        <v>8</v>
      </c>
      <c r="H37" s="178">
        <v>5.2045</v>
      </c>
      <c r="I37" s="192" t="s">
        <v>8</v>
      </c>
      <c r="J37" s="63">
        <v>0.028</v>
      </c>
      <c r="K37" s="63">
        <f>$Q37+3.3%</f>
        <v>0.0505</v>
      </c>
      <c r="L37" s="63">
        <f>$Q37+4.4%</f>
        <v>0.061500000000000006</v>
      </c>
      <c r="M37" s="63">
        <f>$Q37+15.5%</f>
        <v>0.1725</v>
      </c>
      <c r="N37" s="63">
        <f>$Q37+11.5%</f>
        <v>0.1325</v>
      </c>
      <c r="O37" s="63"/>
      <c r="P37" s="199"/>
      <c r="Q37" s="181">
        <v>0.0175</v>
      </c>
    </row>
    <row r="38" spans="1:17" s="193" customFormat="1" ht="12.75">
      <c r="A38" s="85" t="s">
        <v>2098</v>
      </c>
      <c r="B38" s="86" t="s">
        <v>2099</v>
      </c>
      <c r="C38" s="87" t="str">
        <f t="shared" si="0"/>
        <v>6 lat/a od dnia zakupu</v>
      </c>
      <c r="D38" s="87">
        <v>43709</v>
      </c>
      <c r="E38" s="87">
        <v>43738</v>
      </c>
      <c r="F38" s="88">
        <v>100</v>
      </c>
      <c r="G38" s="197" t="s">
        <v>8</v>
      </c>
      <c r="H38" s="178">
        <v>4.2139</v>
      </c>
      <c r="I38" s="192" t="s">
        <v>8</v>
      </c>
      <c r="J38" s="63">
        <v>0.028</v>
      </c>
      <c r="K38" s="63">
        <f>$Q38+3%</f>
        <v>0.0475</v>
      </c>
      <c r="L38" s="63">
        <f>$Q38+5%</f>
        <v>0.0675</v>
      </c>
      <c r="M38" s="63">
        <f>$Q38+15.6%</f>
        <v>0.1735</v>
      </c>
      <c r="N38" s="63">
        <f>$Q38+10.8%</f>
        <v>0.1255</v>
      </c>
      <c r="O38" s="63"/>
      <c r="P38" s="199"/>
      <c r="Q38" s="181">
        <v>0.0175</v>
      </c>
    </row>
    <row r="39" spans="1:17" s="193" customFormat="1" ht="12.75">
      <c r="A39" s="85" t="s">
        <v>2112</v>
      </c>
      <c r="B39" s="86" t="s">
        <v>2113</v>
      </c>
      <c r="C39" s="87" t="str">
        <f t="shared" si="0"/>
        <v>6 lat/a od dnia zakupu</v>
      </c>
      <c r="D39" s="87">
        <v>43739</v>
      </c>
      <c r="E39" s="87">
        <v>43769</v>
      </c>
      <c r="F39" s="88">
        <v>100</v>
      </c>
      <c r="G39" s="197" t="s">
        <v>8</v>
      </c>
      <c r="H39" s="178">
        <v>5.4277</v>
      </c>
      <c r="I39" s="192" t="s">
        <v>8</v>
      </c>
      <c r="J39" s="63">
        <v>0.028</v>
      </c>
      <c r="K39" s="63">
        <f>$Q39+2.9%</f>
        <v>0.0465</v>
      </c>
      <c r="L39" s="63">
        <f>$Q39+5.5%</f>
        <v>0.07250000000000001</v>
      </c>
      <c r="M39" s="63">
        <f>$Q39+16.1%</f>
        <v>0.1785</v>
      </c>
      <c r="N39" s="63">
        <f>$Q39+10.1%</f>
        <v>0.1185</v>
      </c>
      <c r="O39" s="63"/>
      <c r="P39" s="199"/>
      <c r="Q39" s="181">
        <v>0.0175</v>
      </c>
    </row>
    <row r="40" spans="1:17" s="193" customFormat="1" ht="12.75">
      <c r="A40" s="85" t="s">
        <v>2126</v>
      </c>
      <c r="B40" s="86" t="s">
        <v>2127</v>
      </c>
      <c r="C40" s="87" t="str">
        <f t="shared" si="0"/>
        <v>6 lat/a od dnia zakupu</v>
      </c>
      <c r="D40" s="87">
        <v>43770</v>
      </c>
      <c r="E40" s="87">
        <v>43799</v>
      </c>
      <c r="F40" s="88">
        <v>100</v>
      </c>
      <c r="G40" s="197" t="s">
        <v>8</v>
      </c>
      <c r="H40" s="178">
        <v>5.877</v>
      </c>
      <c r="I40" s="192" t="s">
        <v>8</v>
      </c>
      <c r="J40" s="63">
        <v>0.028</v>
      </c>
      <c r="K40" s="63">
        <f>$Q40+3.2%</f>
        <v>0.0495</v>
      </c>
      <c r="L40" s="63">
        <f>$Q40+5.9%</f>
        <v>0.07650000000000001</v>
      </c>
      <c r="M40" s="63">
        <f>$Q40+17.2%</f>
        <v>0.1895</v>
      </c>
      <c r="N40" s="63">
        <f>$Q40+8.2%</f>
        <v>0.09949999999999999</v>
      </c>
      <c r="O40" s="63"/>
      <c r="P40" s="199"/>
      <c r="Q40" s="181">
        <v>0.0175</v>
      </c>
    </row>
    <row r="41" spans="1:17" s="193" customFormat="1" ht="12.75">
      <c r="A41" s="90" t="s">
        <v>2140</v>
      </c>
      <c r="B41" s="91" t="s">
        <v>2141</v>
      </c>
      <c r="C41" s="92" t="str">
        <f t="shared" si="0"/>
        <v>6 lat/a od dnia zakupu</v>
      </c>
      <c r="D41" s="92">
        <v>43800</v>
      </c>
      <c r="E41" s="92">
        <v>43830</v>
      </c>
      <c r="F41" s="93">
        <v>100</v>
      </c>
      <c r="G41" s="194" t="s">
        <v>8</v>
      </c>
      <c r="H41" s="183">
        <v>6.6456</v>
      </c>
      <c r="I41" s="196" t="s">
        <v>8</v>
      </c>
      <c r="J41" s="65">
        <v>0.028</v>
      </c>
      <c r="K41" s="65">
        <f>$Q41+3.1%</f>
        <v>0.0485</v>
      </c>
      <c r="L41" s="63">
        <f>$Q41+6.8%</f>
        <v>0.0855</v>
      </c>
      <c r="M41" s="63">
        <f>$Q41+17.9%</f>
        <v>0.1965</v>
      </c>
      <c r="N41" s="65">
        <f>$Q41+6.6%</f>
        <v>0.0835</v>
      </c>
      <c r="O41" s="202"/>
      <c r="P41" s="200"/>
      <c r="Q41" s="184">
        <v>0.0175</v>
      </c>
    </row>
    <row r="42" spans="1:17" s="193" customFormat="1" ht="12.75">
      <c r="A42" s="113" t="s">
        <v>2154</v>
      </c>
      <c r="B42" s="114" t="s">
        <v>2155</v>
      </c>
      <c r="C42" s="136" t="str">
        <f t="shared" si="0"/>
        <v>6 lat/a od dnia zakupu</v>
      </c>
      <c r="D42" s="136">
        <v>43831</v>
      </c>
      <c r="E42" s="136">
        <v>43861</v>
      </c>
      <c r="F42" s="137">
        <v>100</v>
      </c>
      <c r="G42" s="203" t="s">
        <v>8</v>
      </c>
      <c r="H42" s="188">
        <v>9.3853</v>
      </c>
      <c r="I42" s="204" t="s">
        <v>8</v>
      </c>
      <c r="J42" s="66">
        <v>0.028</v>
      </c>
      <c r="K42" s="66">
        <f>$Q42+3%</f>
        <v>0.0475</v>
      </c>
      <c r="L42" s="66">
        <f>$Q42+7.8%</f>
        <v>0.0955</v>
      </c>
      <c r="M42" s="66">
        <f>$Q42+17.5%</f>
        <v>0.1925</v>
      </c>
      <c r="N42" s="66">
        <f>$Q42+6.6%</f>
        <v>0.0835</v>
      </c>
      <c r="O42" s="205"/>
      <c r="P42" s="198"/>
      <c r="Q42" s="179">
        <v>0.0175</v>
      </c>
    </row>
    <row r="43" spans="1:17" s="193" customFormat="1" ht="12.75">
      <c r="A43" s="85" t="s">
        <v>2168</v>
      </c>
      <c r="B43" s="86" t="s">
        <v>2169</v>
      </c>
      <c r="C43" s="87" t="str">
        <f t="shared" si="0"/>
        <v>6 lat/a od dnia zakupu</v>
      </c>
      <c r="D43" s="87">
        <v>43862</v>
      </c>
      <c r="E43" s="87">
        <v>43889</v>
      </c>
      <c r="F43" s="88">
        <v>100</v>
      </c>
      <c r="G43" s="197" t="s">
        <v>8</v>
      </c>
      <c r="H43" s="178">
        <v>9.4062</v>
      </c>
      <c r="I43" s="192" t="s">
        <v>8</v>
      </c>
      <c r="J43" s="63">
        <v>0.028</v>
      </c>
      <c r="K43" s="63">
        <f>$Q43+2.4%</f>
        <v>0.0415</v>
      </c>
      <c r="L43" s="63">
        <f>$Q43+8.6%</f>
        <v>0.1035</v>
      </c>
      <c r="M43" s="63">
        <f>$Q43+16.6%</f>
        <v>0.1835</v>
      </c>
      <c r="N43" s="63">
        <f>$Q43+6.2%</f>
        <v>0.0795</v>
      </c>
      <c r="O43" s="201"/>
      <c r="P43" s="199"/>
      <c r="Q43" s="181">
        <v>0.0175</v>
      </c>
    </row>
    <row r="44" spans="1:17" s="193" customFormat="1" ht="12.75">
      <c r="A44" s="85" t="s">
        <v>2177</v>
      </c>
      <c r="B44" s="86" t="s">
        <v>2184</v>
      </c>
      <c r="C44" s="87" t="str">
        <f t="shared" si="0"/>
        <v>6 lat/a od dnia zakupu</v>
      </c>
      <c r="D44" s="87">
        <v>43891</v>
      </c>
      <c r="E44" s="87">
        <v>43921</v>
      </c>
      <c r="F44" s="88">
        <v>100</v>
      </c>
      <c r="G44" s="197" t="s">
        <v>8</v>
      </c>
      <c r="H44" s="178">
        <v>9.3116</v>
      </c>
      <c r="I44" s="192" t="s">
        <v>8</v>
      </c>
      <c r="J44" s="63">
        <v>0.028</v>
      </c>
      <c r="K44" s="63">
        <f>$Q44+2.7%</f>
        <v>0.044500000000000005</v>
      </c>
      <c r="L44" s="63">
        <f>$Q44+9.2%</f>
        <v>0.1095</v>
      </c>
      <c r="M44" s="63">
        <f>$Q44+17.2%</f>
        <v>0.1895</v>
      </c>
      <c r="N44" s="63">
        <f>$Q44+3.9%</f>
        <v>0.0565</v>
      </c>
      <c r="O44" s="201"/>
      <c r="P44" s="199"/>
      <c r="Q44" s="181">
        <v>0.0175</v>
      </c>
    </row>
    <row r="45" spans="1:17" s="193" customFormat="1" ht="12.75">
      <c r="A45" s="85" t="s">
        <v>2196</v>
      </c>
      <c r="B45" s="86" t="s">
        <v>2197</v>
      </c>
      <c r="C45" s="87" t="str">
        <f t="shared" si="0"/>
        <v>6 lat/a od dnia zakupu</v>
      </c>
      <c r="D45" s="87">
        <v>43922</v>
      </c>
      <c r="E45" s="87">
        <v>43951</v>
      </c>
      <c r="F45" s="88">
        <v>100</v>
      </c>
      <c r="G45" s="197" t="s">
        <v>8</v>
      </c>
      <c r="H45" s="178">
        <v>25.0038</v>
      </c>
      <c r="I45" s="192" t="s">
        <v>8</v>
      </c>
      <c r="J45" s="63">
        <v>0.028</v>
      </c>
      <c r="K45" s="63">
        <f>$Q45+2.4%</f>
        <v>0.0415</v>
      </c>
      <c r="L45" s="63">
        <f>$Q45+8.5%</f>
        <v>0.10250000000000001</v>
      </c>
      <c r="M45" s="63">
        <f>$Q45+18.4%</f>
        <v>0.2015</v>
      </c>
      <c r="N45" s="63">
        <f>$Q45+2.8%</f>
        <v>0.0455</v>
      </c>
      <c r="O45" s="201"/>
      <c r="P45" s="199"/>
      <c r="Q45" s="181">
        <v>0.0175</v>
      </c>
    </row>
    <row r="46" spans="1:17" s="193" customFormat="1" ht="12.75">
      <c r="A46" s="85" t="s">
        <v>2210</v>
      </c>
      <c r="B46" s="86" t="s">
        <v>2211</v>
      </c>
      <c r="C46" s="87" t="str">
        <f t="shared" si="0"/>
        <v>6 lat/a od dnia zakupu</v>
      </c>
      <c r="D46" s="87">
        <v>43952</v>
      </c>
      <c r="E46" s="87">
        <v>43982</v>
      </c>
      <c r="F46" s="88">
        <v>100</v>
      </c>
      <c r="G46" s="197" t="s">
        <v>8</v>
      </c>
      <c r="H46" s="178">
        <v>4.2018</v>
      </c>
      <c r="I46" s="192" t="s">
        <v>8</v>
      </c>
      <c r="J46" s="63">
        <v>0.015</v>
      </c>
      <c r="K46" s="63">
        <f>$Q46+3.2%</f>
        <v>0.0445</v>
      </c>
      <c r="L46" s="63">
        <f>$Q46+11%</f>
        <v>0.1225</v>
      </c>
      <c r="M46" s="63">
        <f>$Q46+16.1%</f>
        <v>0.17350000000000002</v>
      </c>
      <c r="N46" s="63"/>
      <c r="O46" s="201"/>
      <c r="P46" s="199"/>
      <c r="Q46" s="181">
        <v>0.0125</v>
      </c>
    </row>
    <row r="47" spans="1:17" s="193" customFormat="1" ht="12.75">
      <c r="A47" s="85" t="s">
        <v>2224</v>
      </c>
      <c r="B47" s="86" t="s">
        <v>2225</v>
      </c>
      <c r="C47" s="87" t="str">
        <f t="shared" si="0"/>
        <v>6 lat/a od dnia zakupu</v>
      </c>
      <c r="D47" s="87">
        <v>43983</v>
      </c>
      <c r="E47" s="87">
        <v>44012</v>
      </c>
      <c r="F47" s="88">
        <v>100</v>
      </c>
      <c r="G47" s="197" t="s">
        <v>8</v>
      </c>
      <c r="H47" s="178">
        <v>4.4024</v>
      </c>
      <c r="I47" s="192" t="s">
        <v>8</v>
      </c>
      <c r="J47" s="63">
        <v>0.015</v>
      </c>
      <c r="K47" s="63">
        <f>$Q47+4.3%</f>
        <v>0.055499999999999994</v>
      </c>
      <c r="L47" s="63">
        <f>$Q47+12.4%</f>
        <v>0.1365</v>
      </c>
      <c r="M47" s="63">
        <f>$Q47+14.7%</f>
        <v>0.1595</v>
      </c>
      <c r="N47" s="63"/>
      <c r="O47" s="201"/>
      <c r="P47" s="199"/>
      <c r="Q47" s="181">
        <v>0.0125</v>
      </c>
    </row>
    <row r="48" spans="1:17" s="193" customFormat="1" ht="12.75">
      <c r="A48" s="85" t="s">
        <v>2238</v>
      </c>
      <c r="B48" s="86" t="s">
        <v>2239</v>
      </c>
      <c r="C48" s="87" t="str">
        <f t="shared" si="0"/>
        <v>6 lat/a od dnia zakupu</v>
      </c>
      <c r="D48" s="87">
        <v>44013</v>
      </c>
      <c r="E48" s="87">
        <v>44043</v>
      </c>
      <c r="F48" s="88">
        <v>100</v>
      </c>
      <c r="G48" s="197" t="s">
        <v>8</v>
      </c>
      <c r="H48" s="178">
        <v>5.205</v>
      </c>
      <c r="I48" s="192" t="s">
        <v>8</v>
      </c>
      <c r="J48" s="63">
        <v>0.015</v>
      </c>
      <c r="K48" s="63">
        <f>$Q48+4.7%</f>
        <v>0.0595</v>
      </c>
      <c r="L48" s="63">
        <f>$Q48+13.9%</f>
        <v>0.15150000000000002</v>
      </c>
      <c r="M48" s="63">
        <f>$Q48+13%</f>
        <v>0.14250000000000002</v>
      </c>
      <c r="N48" s="63"/>
      <c r="O48" s="201"/>
      <c r="P48" s="199"/>
      <c r="Q48" s="181">
        <v>0.0125</v>
      </c>
    </row>
    <row r="49" spans="1:17" s="193" customFormat="1" ht="12.75">
      <c r="A49" s="85" t="s">
        <v>2252</v>
      </c>
      <c r="B49" s="86" t="s">
        <v>2253</v>
      </c>
      <c r="C49" s="87" t="str">
        <f t="shared" si="0"/>
        <v>6 lat/a od dnia zakupu</v>
      </c>
      <c r="D49" s="87">
        <v>44044</v>
      </c>
      <c r="E49" s="87">
        <v>44074</v>
      </c>
      <c r="F49" s="88">
        <v>100</v>
      </c>
      <c r="G49" s="197" t="s">
        <v>8</v>
      </c>
      <c r="H49" s="178">
        <v>5.3859</v>
      </c>
      <c r="I49" s="192" t="s">
        <v>8</v>
      </c>
      <c r="J49" s="63">
        <v>0.015</v>
      </c>
      <c r="K49" s="63">
        <f>$Q49+4.4%</f>
        <v>0.05650000000000001</v>
      </c>
      <c r="L49" s="63">
        <f>$Q49+15.5%</f>
        <v>0.1675</v>
      </c>
      <c r="M49" s="63">
        <f>$Q49+11.5%</f>
        <v>0.1275</v>
      </c>
      <c r="N49" s="63"/>
      <c r="O49" s="201"/>
      <c r="P49" s="199"/>
      <c r="Q49" s="181">
        <v>0.0125</v>
      </c>
    </row>
    <row r="50" spans="1:17" s="193" customFormat="1" ht="12.75">
      <c r="A50" s="85" t="s">
        <v>2266</v>
      </c>
      <c r="B50" s="86" t="s">
        <v>2267</v>
      </c>
      <c r="C50" s="87" t="str">
        <f t="shared" si="0"/>
        <v>6 lat/a od dnia zakupu</v>
      </c>
      <c r="D50" s="87">
        <v>44075</v>
      </c>
      <c r="E50" s="87">
        <v>44104</v>
      </c>
      <c r="F50" s="88">
        <v>100</v>
      </c>
      <c r="G50" s="197" t="s">
        <v>8</v>
      </c>
      <c r="H50" s="178">
        <v>6.1952</v>
      </c>
      <c r="I50" s="192" t="s">
        <v>8</v>
      </c>
      <c r="J50" s="63">
        <v>0.015</v>
      </c>
      <c r="K50" s="63">
        <f>$Q50+5%</f>
        <v>0.0625</v>
      </c>
      <c r="L50" s="63">
        <f>$Q50+15.6%</f>
        <v>0.1685</v>
      </c>
      <c r="M50" s="63">
        <f>$Q50+10.8%</f>
        <v>0.12050000000000001</v>
      </c>
      <c r="N50" s="63"/>
      <c r="O50" s="201"/>
      <c r="P50" s="199"/>
      <c r="Q50" s="181">
        <v>0.0125</v>
      </c>
    </row>
    <row r="51" spans="1:17" s="193" customFormat="1" ht="12.75">
      <c r="A51" s="85" t="s">
        <v>2280</v>
      </c>
      <c r="B51" s="86" t="s">
        <v>2281</v>
      </c>
      <c r="C51" s="87" t="str">
        <f t="shared" si="0"/>
        <v>6 lat/a od dnia zakupu</v>
      </c>
      <c r="D51" s="87">
        <v>44105</v>
      </c>
      <c r="E51" s="87">
        <v>44135</v>
      </c>
      <c r="F51" s="88">
        <v>100</v>
      </c>
      <c r="G51" s="197" t="s">
        <v>8</v>
      </c>
      <c r="H51" s="178">
        <v>6.2167</v>
      </c>
      <c r="I51" s="192" t="s">
        <v>8</v>
      </c>
      <c r="J51" s="63">
        <v>0.015</v>
      </c>
      <c r="K51" s="63">
        <f>$Q51+5.5%</f>
        <v>0.0675</v>
      </c>
      <c r="L51" s="63">
        <f>$Q51+16.1%</f>
        <v>0.17350000000000002</v>
      </c>
      <c r="M51" s="63">
        <f>$Q51+10.1%</f>
        <v>0.11349999999999999</v>
      </c>
      <c r="N51" s="63"/>
      <c r="O51" s="201"/>
      <c r="P51" s="199"/>
      <c r="Q51" s="181">
        <v>0.0125</v>
      </c>
    </row>
    <row r="52" spans="1:17" s="193" customFormat="1" ht="12.75">
      <c r="A52" s="85" t="s">
        <v>2294</v>
      </c>
      <c r="B52" s="86" t="s">
        <v>2295</v>
      </c>
      <c r="C52" s="87" t="str">
        <f t="shared" si="0"/>
        <v>6 lat/a od dnia zakupu</v>
      </c>
      <c r="D52" s="87">
        <v>44136</v>
      </c>
      <c r="E52" s="87">
        <v>44165</v>
      </c>
      <c r="F52" s="88">
        <v>100</v>
      </c>
      <c r="G52" s="197" t="s">
        <v>8</v>
      </c>
      <c r="H52" s="178">
        <v>6.6432</v>
      </c>
      <c r="I52" s="192" t="s">
        <v>8</v>
      </c>
      <c r="J52" s="63">
        <v>0.015</v>
      </c>
      <c r="K52" s="63">
        <f>$Q52+5.9%</f>
        <v>0.07150000000000001</v>
      </c>
      <c r="L52" s="63">
        <f>$Q52+17.2%</f>
        <v>0.1845</v>
      </c>
      <c r="M52" s="63">
        <f>$Q52+8.2%</f>
        <v>0.09449999999999999</v>
      </c>
      <c r="N52" s="63"/>
      <c r="O52" s="201"/>
      <c r="P52" s="199"/>
      <c r="Q52" s="181">
        <v>0.0125</v>
      </c>
    </row>
    <row r="53" spans="1:17" s="206" customFormat="1" ht="12.75">
      <c r="A53" s="90" t="s">
        <v>2308</v>
      </c>
      <c r="B53" s="91" t="s">
        <v>2309</v>
      </c>
      <c r="C53" s="92" t="str">
        <f t="shared" si="0"/>
        <v>6 lat/a od dnia zakupu</v>
      </c>
      <c r="D53" s="92">
        <v>44166</v>
      </c>
      <c r="E53" s="92">
        <v>44196</v>
      </c>
      <c r="F53" s="93">
        <v>100</v>
      </c>
      <c r="G53" s="194" t="s">
        <v>8</v>
      </c>
      <c r="H53" s="183">
        <v>7.7565</v>
      </c>
      <c r="I53" s="196" t="s">
        <v>8</v>
      </c>
      <c r="J53" s="65">
        <v>0.015</v>
      </c>
      <c r="K53" s="63">
        <f>$Q53+6.8%</f>
        <v>0.0805</v>
      </c>
      <c r="L53" s="63">
        <f>$Q53+17.9%</f>
        <v>0.1915</v>
      </c>
      <c r="M53" s="65">
        <f>$Q53+6.6%</f>
        <v>0.0785</v>
      </c>
      <c r="N53" s="65"/>
      <c r="O53" s="202"/>
      <c r="P53" s="200"/>
      <c r="Q53" s="184">
        <v>0.0125</v>
      </c>
    </row>
    <row r="54" spans="1:17" s="206" customFormat="1" ht="12.75">
      <c r="A54" s="113" t="s">
        <v>2317</v>
      </c>
      <c r="B54" s="114" t="s">
        <v>2324</v>
      </c>
      <c r="C54" s="136" t="str">
        <f t="shared" si="0"/>
        <v>6 lat/a od dnia zakupu</v>
      </c>
      <c r="D54" s="136">
        <v>44197</v>
      </c>
      <c r="E54" s="136">
        <v>44227</v>
      </c>
      <c r="F54" s="137">
        <v>100</v>
      </c>
      <c r="G54" s="203" t="s">
        <v>8</v>
      </c>
      <c r="H54" s="188">
        <v>9.0872</v>
      </c>
      <c r="I54" s="204" t="s">
        <v>8</v>
      </c>
      <c r="J54" s="66">
        <v>0.015</v>
      </c>
      <c r="K54" s="66">
        <f>$Q54+7.8%</f>
        <v>0.0905</v>
      </c>
      <c r="L54" s="66">
        <f>$Q54+17.5%</f>
        <v>0.1875</v>
      </c>
      <c r="M54" s="66">
        <f>$Q54+6.6%</f>
        <v>0.0785</v>
      </c>
      <c r="N54" s="66"/>
      <c r="O54" s="205"/>
      <c r="P54" s="198"/>
      <c r="Q54" s="179">
        <v>0.0125</v>
      </c>
    </row>
    <row r="55" spans="1:17" s="193" customFormat="1" ht="12.75">
      <c r="A55" s="85" t="s">
        <v>2336</v>
      </c>
      <c r="B55" s="86" t="s">
        <v>2337</v>
      </c>
      <c r="C55" s="87" t="str">
        <f t="shared" si="0"/>
        <v>6 lat/a od dnia zakupu</v>
      </c>
      <c r="D55" s="87">
        <v>44228</v>
      </c>
      <c r="E55" s="87">
        <v>44255</v>
      </c>
      <c r="F55" s="88">
        <v>100</v>
      </c>
      <c r="G55" s="197" t="s">
        <v>8</v>
      </c>
      <c r="H55" s="178">
        <v>9.9452</v>
      </c>
      <c r="I55" s="192" t="s">
        <v>8</v>
      </c>
      <c r="J55" s="63">
        <v>0.015</v>
      </c>
      <c r="K55" s="63">
        <f>$Q55+8.6%</f>
        <v>0.09849999999999999</v>
      </c>
      <c r="L55" s="63">
        <f>$Q55+16.6%</f>
        <v>0.17850000000000002</v>
      </c>
      <c r="M55" s="63">
        <f>$Q55+6.2%</f>
        <v>0.0745</v>
      </c>
      <c r="N55" s="63"/>
      <c r="O55" s="201"/>
      <c r="P55" s="199"/>
      <c r="Q55" s="181">
        <v>0.0125</v>
      </c>
    </row>
    <row r="56" spans="1:17" s="193" customFormat="1" ht="12.75">
      <c r="A56" s="85" t="s">
        <v>2350</v>
      </c>
      <c r="B56" s="86" t="s">
        <v>2351</v>
      </c>
      <c r="C56" s="87" t="str">
        <f t="shared" si="0"/>
        <v>6 lat/a od dnia zakupu</v>
      </c>
      <c r="D56" s="87">
        <v>44256</v>
      </c>
      <c r="E56" s="87">
        <v>44286</v>
      </c>
      <c r="F56" s="88">
        <v>100</v>
      </c>
      <c r="G56" s="197" t="s">
        <v>8</v>
      </c>
      <c r="H56" s="178">
        <v>12.6641</v>
      </c>
      <c r="I56" s="192" t="s">
        <v>8</v>
      </c>
      <c r="J56" s="63">
        <v>0.015</v>
      </c>
      <c r="K56" s="63">
        <f>$Q56+9.2%</f>
        <v>0.1045</v>
      </c>
      <c r="L56" s="63">
        <f>$Q56+17.2%</f>
        <v>0.1845</v>
      </c>
      <c r="M56" s="63">
        <f>$Q56+3.9%</f>
        <v>0.051500000000000004</v>
      </c>
      <c r="N56" s="63"/>
      <c r="O56" s="201"/>
      <c r="P56" s="199"/>
      <c r="Q56" s="181">
        <v>0.0125</v>
      </c>
    </row>
    <row r="57" spans="1:17" s="193" customFormat="1" ht="12.75">
      <c r="A57" s="85" t="s">
        <v>2364</v>
      </c>
      <c r="B57" s="86" t="s">
        <v>2365</v>
      </c>
      <c r="C57" s="87" t="str">
        <f t="shared" si="0"/>
        <v>6 lat/a od dnia zakupu</v>
      </c>
      <c r="D57" s="87">
        <v>44287</v>
      </c>
      <c r="E57" s="87">
        <v>44316</v>
      </c>
      <c r="F57" s="88">
        <v>100</v>
      </c>
      <c r="G57" s="197" t="s">
        <v>8</v>
      </c>
      <c r="H57" s="178">
        <v>12.3556</v>
      </c>
      <c r="I57" s="192" t="s">
        <v>8</v>
      </c>
      <c r="J57" s="63">
        <v>0.015</v>
      </c>
      <c r="K57" s="63">
        <f>$Q57+8.5%</f>
        <v>0.0975</v>
      </c>
      <c r="L57" s="63">
        <f>$Q57+18.4%</f>
        <v>0.1965</v>
      </c>
      <c r="M57" s="63">
        <f>$Q57+2.8%</f>
        <v>0.040499999999999994</v>
      </c>
      <c r="N57" s="63"/>
      <c r="O57" s="201"/>
      <c r="P57" s="199"/>
      <c r="Q57" s="181">
        <v>0.0125</v>
      </c>
    </row>
    <row r="58" spans="1:17" s="193" customFormat="1" ht="12.75">
      <c r="A58" s="85" t="s">
        <v>2378</v>
      </c>
      <c r="B58" s="86" t="s">
        <v>2379</v>
      </c>
      <c r="C58" s="87" t="str">
        <f t="shared" si="0"/>
        <v>6 lat/a od dnia zakupu</v>
      </c>
      <c r="D58" s="87">
        <v>44317</v>
      </c>
      <c r="E58" s="87">
        <v>44347</v>
      </c>
      <c r="F58" s="88">
        <v>100</v>
      </c>
      <c r="G58" s="197" t="s">
        <v>8</v>
      </c>
      <c r="H58" s="178">
        <v>10.3204</v>
      </c>
      <c r="I58" s="192" t="s">
        <v>8</v>
      </c>
      <c r="J58" s="63">
        <v>0.015</v>
      </c>
      <c r="K58" s="63">
        <f>$Q58+11%</f>
        <v>0.1225</v>
      </c>
      <c r="L58" s="63">
        <f>$Q58+16.1%</f>
        <v>0.17350000000000002</v>
      </c>
      <c r="M58" s="63"/>
      <c r="N58" s="63"/>
      <c r="O58" s="201"/>
      <c r="P58" s="199"/>
      <c r="Q58" s="181">
        <v>0.0125</v>
      </c>
    </row>
    <row r="59" spans="1:17" s="193" customFormat="1" ht="12.75">
      <c r="A59" s="85" t="s">
        <v>2392</v>
      </c>
      <c r="B59" s="86" t="s">
        <v>2393</v>
      </c>
      <c r="C59" s="87" t="str">
        <f t="shared" si="0"/>
        <v>6 lat/a od dnia zakupu</v>
      </c>
      <c r="D59" s="87">
        <v>44348</v>
      </c>
      <c r="E59" s="87">
        <v>44377</v>
      </c>
      <c r="F59" s="88">
        <v>100</v>
      </c>
      <c r="G59" s="197" t="s">
        <v>8</v>
      </c>
      <c r="H59" s="178">
        <v>9.4155</v>
      </c>
      <c r="I59" s="192" t="s">
        <v>8</v>
      </c>
      <c r="J59" s="63">
        <v>0.015</v>
      </c>
      <c r="K59" s="63">
        <f>$Q59+12.4%</f>
        <v>0.1365</v>
      </c>
      <c r="L59" s="63">
        <f>$Q59+14.7%</f>
        <v>0.1595</v>
      </c>
      <c r="M59" s="63"/>
      <c r="N59" s="63"/>
      <c r="O59" s="201"/>
      <c r="P59" s="199"/>
      <c r="Q59" s="181">
        <v>0.0125</v>
      </c>
    </row>
    <row r="60" spans="1:17" s="193" customFormat="1" ht="12.75">
      <c r="A60" s="85" t="s">
        <v>2406</v>
      </c>
      <c r="B60" s="86" t="s">
        <v>2407</v>
      </c>
      <c r="C60" s="87" t="str">
        <f t="shared" si="0"/>
        <v>6 lat/a od dnia zakupu</v>
      </c>
      <c r="D60" s="87">
        <v>44378</v>
      </c>
      <c r="E60" s="87">
        <v>44408</v>
      </c>
      <c r="F60" s="88">
        <v>100</v>
      </c>
      <c r="G60" s="197" t="s">
        <v>8</v>
      </c>
      <c r="H60" s="178">
        <v>8.8879</v>
      </c>
      <c r="I60" s="192" t="s">
        <v>8</v>
      </c>
      <c r="J60" s="63">
        <v>0.015</v>
      </c>
      <c r="K60" s="63">
        <f>$Q60+13.9%</f>
        <v>0.15150000000000002</v>
      </c>
      <c r="L60" s="63">
        <f>$Q60+13%</f>
        <v>0.14250000000000002</v>
      </c>
      <c r="M60" s="63"/>
      <c r="N60" s="63"/>
      <c r="O60" s="201"/>
      <c r="P60" s="199"/>
      <c r="Q60" s="181">
        <v>0.0125</v>
      </c>
    </row>
    <row r="61" spans="1:17" s="193" customFormat="1" ht="12.75">
      <c r="A61" s="85" t="s">
        <v>2415</v>
      </c>
      <c r="B61" s="86" t="s">
        <v>2422</v>
      </c>
      <c r="C61" s="87" t="str">
        <f t="shared" si="0"/>
        <v>6 lat/a od dnia zakupu</v>
      </c>
      <c r="D61" s="87">
        <v>44409</v>
      </c>
      <c r="E61" s="87">
        <v>44439</v>
      </c>
      <c r="F61" s="88">
        <v>100</v>
      </c>
      <c r="G61" s="197" t="s">
        <v>8</v>
      </c>
      <c r="H61" s="178">
        <v>10.4313</v>
      </c>
      <c r="I61" s="192" t="s">
        <v>8</v>
      </c>
      <c r="J61" s="63">
        <v>0.015</v>
      </c>
      <c r="K61" s="63">
        <f>$Q61+15.5%</f>
        <v>0.1675</v>
      </c>
      <c r="L61" s="63">
        <f>$Q61+11.5%</f>
        <v>0.1275</v>
      </c>
      <c r="M61" s="63"/>
      <c r="N61" s="63"/>
      <c r="O61" s="201"/>
      <c r="P61" s="199"/>
      <c r="Q61" s="181">
        <v>0.0125</v>
      </c>
    </row>
    <row r="62" spans="1:17" s="193" customFormat="1" ht="12.75">
      <c r="A62" s="85" t="s">
        <v>2434</v>
      </c>
      <c r="B62" s="86" t="s">
        <v>2435</v>
      </c>
      <c r="C62" s="87" t="str">
        <f t="shared" si="0"/>
        <v>6 lat/a od dnia zakupu</v>
      </c>
      <c r="D62" s="87">
        <v>44440</v>
      </c>
      <c r="E62" s="87">
        <v>44469</v>
      </c>
      <c r="F62" s="88">
        <v>100</v>
      </c>
      <c r="G62" s="197" t="s">
        <v>8</v>
      </c>
      <c r="H62" s="178">
        <v>12.0662</v>
      </c>
      <c r="I62" s="192" t="s">
        <v>8</v>
      </c>
      <c r="J62" s="63">
        <v>0.015</v>
      </c>
      <c r="K62" s="63">
        <f>$Q62+15.6%</f>
        <v>0.1685</v>
      </c>
      <c r="L62" s="63">
        <f>$Q62+10.8%</f>
        <v>0.12050000000000001</v>
      </c>
      <c r="M62" s="63"/>
      <c r="N62" s="63"/>
      <c r="O62" s="201"/>
      <c r="P62" s="199"/>
      <c r="Q62" s="181">
        <v>0.0125</v>
      </c>
    </row>
    <row r="63" spans="1:17" s="193" customFormat="1" ht="12.75">
      <c r="A63" s="85" t="s">
        <v>2448</v>
      </c>
      <c r="B63" s="86" t="s">
        <v>2449</v>
      </c>
      <c r="C63" s="87" t="str">
        <f t="shared" si="0"/>
        <v>6 lat/a od dnia zakupu</v>
      </c>
      <c r="D63" s="87">
        <v>44470</v>
      </c>
      <c r="E63" s="87">
        <v>44500</v>
      </c>
      <c r="F63" s="88">
        <v>100</v>
      </c>
      <c r="G63" s="197" t="s">
        <v>8</v>
      </c>
      <c r="H63" s="178">
        <v>12.3015</v>
      </c>
      <c r="I63" s="192" t="s">
        <v>8</v>
      </c>
      <c r="J63" s="63">
        <v>0.015</v>
      </c>
      <c r="K63" s="63">
        <f>$Q63+16.1%</f>
        <v>0.17350000000000002</v>
      </c>
      <c r="L63" s="63">
        <f>$Q63+10.1%</f>
        <v>0.11349999999999999</v>
      </c>
      <c r="M63" s="63"/>
      <c r="N63" s="63"/>
      <c r="O63" s="201"/>
      <c r="P63" s="199"/>
      <c r="Q63" s="181">
        <v>0.0125</v>
      </c>
    </row>
    <row r="64" spans="1:17" s="193" customFormat="1" ht="12.75">
      <c r="A64" s="85" t="s">
        <v>2457</v>
      </c>
      <c r="B64" s="86" t="s">
        <v>2464</v>
      </c>
      <c r="C64" s="87" t="str">
        <f t="shared" si="0"/>
        <v>6 lat/a od dnia zakupu</v>
      </c>
      <c r="D64" s="87">
        <v>44501</v>
      </c>
      <c r="E64" s="87">
        <v>44530</v>
      </c>
      <c r="F64" s="88">
        <v>100</v>
      </c>
      <c r="G64" s="197" t="s">
        <v>8</v>
      </c>
      <c r="H64" s="178">
        <v>12.3728</v>
      </c>
      <c r="I64" s="192" t="s">
        <v>8</v>
      </c>
      <c r="J64" s="63">
        <v>0.015</v>
      </c>
      <c r="K64" s="63">
        <f>$Q64+17.2%</f>
        <v>0.1845</v>
      </c>
      <c r="L64" s="63">
        <f>$Q64+8.2%</f>
        <v>0.09449999999999999</v>
      </c>
      <c r="M64" s="63"/>
      <c r="N64" s="63"/>
      <c r="O64" s="201"/>
      <c r="P64" s="199"/>
      <c r="Q64" s="181">
        <v>0.0125</v>
      </c>
    </row>
    <row r="65" spans="1:17" s="206" customFormat="1" ht="12.75">
      <c r="A65" s="90" t="s">
        <v>2476</v>
      </c>
      <c r="B65" s="91" t="s">
        <v>2477</v>
      </c>
      <c r="C65" s="92" t="str">
        <f t="shared" si="0"/>
        <v>6 lat/a od dnia zakupu</v>
      </c>
      <c r="D65" s="92">
        <v>44531</v>
      </c>
      <c r="E65" s="92">
        <v>44561</v>
      </c>
      <c r="F65" s="93">
        <v>100</v>
      </c>
      <c r="G65" s="194" t="s">
        <v>8</v>
      </c>
      <c r="H65" s="183">
        <v>15.0851</v>
      </c>
      <c r="I65" s="196" t="s">
        <v>8</v>
      </c>
      <c r="J65" s="65">
        <v>0.015</v>
      </c>
      <c r="K65" s="63">
        <f>$Q65+17.9%</f>
        <v>0.1915</v>
      </c>
      <c r="L65" s="65">
        <f>$Q65+6.6%</f>
        <v>0.0785</v>
      </c>
      <c r="M65" s="65"/>
      <c r="N65" s="65"/>
      <c r="O65" s="202"/>
      <c r="P65" s="200"/>
      <c r="Q65" s="184">
        <v>0.0125</v>
      </c>
    </row>
    <row r="66" spans="1:17" s="206" customFormat="1" ht="12.75">
      <c r="A66" s="113" t="s">
        <v>2490</v>
      </c>
      <c r="B66" s="114" t="s">
        <v>2491</v>
      </c>
      <c r="C66" s="136" t="str">
        <f t="shared" si="0"/>
        <v>6 lat/a od dnia zakupu</v>
      </c>
      <c r="D66" s="136">
        <v>44562</v>
      </c>
      <c r="E66" s="136">
        <v>44592</v>
      </c>
      <c r="F66" s="137">
        <v>100</v>
      </c>
      <c r="G66" s="203" t="s">
        <v>8</v>
      </c>
      <c r="H66" s="188">
        <v>10.6999</v>
      </c>
      <c r="I66" s="204" t="s">
        <v>8</v>
      </c>
      <c r="J66" s="66">
        <v>0.015</v>
      </c>
      <c r="K66" s="66">
        <f>$Q66+17.5%</f>
        <v>0.1875</v>
      </c>
      <c r="L66" s="66">
        <f>$Q66+6.6%</f>
        <v>0.0785</v>
      </c>
      <c r="M66" s="66"/>
      <c r="N66" s="66"/>
      <c r="O66" s="205"/>
      <c r="P66" s="198"/>
      <c r="Q66" s="179">
        <v>0.0125</v>
      </c>
    </row>
    <row r="67" spans="1:17" s="193" customFormat="1" ht="12.75">
      <c r="A67" s="85" t="s">
        <v>2504</v>
      </c>
      <c r="B67" s="86" t="s">
        <v>2505</v>
      </c>
      <c r="C67" s="87" t="str">
        <f t="shared" si="0"/>
        <v>6 lat/a od dnia zakupu</v>
      </c>
      <c r="D67" s="87">
        <v>44593</v>
      </c>
      <c r="E67" s="87">
        <v>44620</v>
      </c>
      <c r="F67" s="88">
        <v>100</v>
      </c>
      <c r="G67" s="197" t="s">
        <v>8</v>
      </c>
      <c r="H67" s="178">
        <v>15.0228</v>
      </c>
      <c r="I67" s="192" t="s">
        <v>8</v>
      </c>
      <c r="J67" s="63">
        <v>0.02</v>
      </c>
      <c r="K67" s="63">
        <f>$Q67+16.6%</f>
        <v>0.181</v>
      </c>
      <c r="L67" s="63">
        <f>$Q67+6.2%</f>
        <v>0.077</v>
      </c>
      <c r="M67" s="63"/>
      <c r="N67" s="63"/>
      <c r="O67" s="201"/>
      <c r="P67" s="199"/>
      <c r="Q67" s="181">
        <v>0.015</v>
      </c>
    </row>
    <row r="68" spans="1:17" s="193" customFormat="1" ht="12.75">
      <c r="A68" s="85" t="s">
        <v>2521</v>
      </c>
      <c r="B68" s="86" t="s">
        <v>2522</v>
      </c>
      <c r="C68" s="87" t="str">
        <f t="shared" si="0"/>
        <v>6 lat/a od dnia zakupu</v>
      </c>
      <c r="D68" s="87">
        <v>44621</v>
      </c>
      <c r="E68" s="87">
        <v>44651</v>
      </c>
      <c r="F68" s="88">
        <v>100</v>
      </c>
      <c r="G68" s="197" t="s">
        <v>8</v>
      </c>
      <c r="H68" s="178">
        <v>11.2903</v>
      </c>
      <c r="I68" s="192" t="s">
        <v>8</v>
      </c>
      <c r="J68" s="63">
        <v>0.02</v>
      </c>
      <c r="K68" s="63">
        <f>$Q68+17.2%</f>
        <v>0.187</v>
      </c>
      <c r="L68" s="63">
        <f>$Q68+3.9%</f>
        <v>0.054</v>
      </c>
      <c r="M68" s="63"/>
      <c r="N68" s="63"/>
      <c r="O68" s="201"/>
      <c r="P68" s="199"/>
      <c r="Q68" s="181">
        <v>0.015</v>
      </c>
    </row>
    <row r="69" spans="1:17" s="193" customFormat="1" ht="12.75">
      <c r="A69" s="85" t="s">
        <v>2535</v>
      </c>
      <c r="B69" s="86" t="s">
        <v>2536</v>
      </c>
      <c r="C69" s="87" t="str">
        <f t="shared" si="0"/>
        <v>6 lat/a od dnia zakupu</v>
      </c>
      <c r="D69" s="87">
        <v>44652</v>
      </c>
      <c r="E69" s="87">
        <v>44681</v>
      </c>
      <c r="F69" s="88">
        <v>100</v>
      </c>
      <c r="G69" s="197" t="s">
        <v>8</v>
      </c>
      <c r="H69" s="178">
        <v>12.601</v>
      </c>
      <c r="I69" s="192" t="s">
        <v>8</v>
      </c>
      <c r="J69" s="63">
        <v>0.025</v>
      </c>
      <c r="K69" s="63">
        <f>$Q69+18.4%</f>
        <v>0.199</v>
      </c>
      <c r="L69" s="63">
        <f>$Q69+2.8%</f>
        <v>0.043</v>
      </c>
      <c r="M69" s="63"/>
      <c r="N69" s="63"/>
      <c r="O69" s="201"/>
      <c r="P69" s="199"/>
      <c r="Q69" s="181">
        <v>0.015</v>
      </c>
    </row>
    <row r="70" spans="1:17" s="193" customFormat="1" ht="12.75">
      <c r="A70" s="85" t="s">
        <v>2549</v>
      </c>
      <c r="B70" s="86" t="s">
        <v>2550</v>
      </c>
      <c r="C70" s="87" t="str">
        <f t="shared" si="0"/>
        <v>6 lat/a od dnia zakupu</v>
      </c>
      <c r="D70" s="87">
        <v>44682</v>
      </c>
      <c r="E70" s="87">
        <v>44712</v>
      </c>
      <c r="F70" s="88">
        <v>100</v>
      </c>
      <c r="G70" s="197" t="s">
        <v>8</v>
      </c>
      <c r="H70" s="178">
        <v>13.2337</v>
      </c>
      <c r="I70" s="192" t="s">
        <v>8</v>
      </c>
      <c r="J70" s="63">
        <v>0.035</v>
      </c>
      <c r="K70" s="63">
        <f>$Q70+16.1%</f>
        <v>0.176</v>
      </c>
      <c r="L70" s="63"/>
      <c r="M70" s="63"/>
      <c r="N70" s="63"/>
      <c r="O70" s="201"/>
      <c r="P70" s="199"/>
      <c r="Q70" s="181">
        <v>0.015</v>
      </c>
    </row>
    <row r="71" spans="1:17" s="193" customFormat="1" ht="12.75">
      <c r="A71" s="85" t="s">
        <v>2626</v>
      </c>
      <c r="B71" s="86" t="s">
        <v>2627</v>
      </c>
      <c r="C71" s="87" t="str">
        <f t="shared" si="0"/>
        <v>6 lat/a od dnia zakupu</v>
      </c>
      <c r="D71" s="87">
        <v>44713</v>
      </c>
      <c r="E71" s="87">
        <v>44742</v>
      </c>
      <c r="F71" s="88">
        <v>100</v>
      </c>
      <c r="G71" s="197" t="s">
        <v>8</v>
      </c>
      <c r="H71" s="178">
        <v>45.6904</v>
      </c>
      <c r="I71" s="192" t="s">
        <v>8</v>
      </c>
      <c r="J71" s="63">
        <v>0.057</v>
      </c>
      <c r="K71" s="63">
        <f>$Q71+14.7%</f>
        <v>0.16199999999999998</v>
      </c>
      <c r="L71" s="63"/>
      <c r="M71" s="63"/>
      <c r="N71" s="63"/>
      <c r="O71" s="201"/>
      <c r="P71" s="199"/>
      <c r="Q71" s="181">
        <v>0.015</v>
      </c>
    </row>
    <row r="72" spans="1:17" s="206" customFormat="1" ht="12.75">
      <c r="A72" s="85" t="s">
        <v>2642</v>
      </c>
      <c r="B72" s="86" t="s">
        <v>2643</v>
      </c>
      <c r="C72" s="87" t="str">
        <f t="shared" si="0"/>
        <v>6 lat/a od dnia zakupu</v>
      </c>
      <c r="D72" s="87">
        <v>44743</v>
      </c>
      <c r="E72" s="87">
        <v>44773</v>
      </c>
      <c r="F72" s="88">
        <v>100</v>
      </c>
      <c r="G72" s="197" t="s">
        <v>8</v>
      </c>
      <c r="H72" s="178">
        <v>45.1199</v>
      </c>
      <c r="I72" s="192" t="s">
        <v>8</v>
      </c>
      <c r="J72" s="63">
        <v>0.062</v>
      </c>
      <c r="K72" s="63">
        <f>$Q72+13%</f>
        <v>0.14500000000000002</v>
      </c>
      <c r="L72" s="63"/>
      <c r="M72" s="63"/>
      <c r="N72" s="63"/>
      <c r="O72" s="201"/>
      <c r="P72" s="199"/>
      <c r="Q72" s="181">
        <v>0.015</v>
      </c>
    </row>
    <row r="73" spans="1:17" ht="12.75">
      <c r="A73" s="85" t="s">
        <v>2839</v>
      </c>
      <c r="B73" s="86" t="s">
        <v>2840</v>
      </c>
      <c r="C73" s="87" t="str">
        <f t="shared" si="0"/>
        <v>6 lat/a od dnia zakupu</v>
      </c>
      <c r="D73" s="87">
        <v>44774</v>
      </c>
      <c r="E73" s="87">
        <v>44804</v>
      </c>
      <c r="F73" s="88">
        <v>100</v>
      </c>
      <c r="G73" s="197" t="s">
        <v>8</v>
      </c>
      <c r="H73" s="178">
        <v>35.8299</v>
      </c>
      <c r="I73" s="192" t="s">
        <v>8</v>
      </c>
      <c r="J73" s="63">
        <v>0.067</v>
      </c>
      <c r="K73" s="63">
        <f>$Q73+11.5%</f>
        <v>0.13</v>
      </c>
      <c r="L73" s="63"/>
      <c r="M73" s="63"/>
      <c r="N73" s="63"/>
      <c r="O73" s="201"/>
      <c r="P73" s="199"/>
      <c r="Q73" s="181">
        <v>0.015</v>
      </c>
    </row>
    <row r="74" spans="1:17" ht="12.75">
      <c r="A74" s="85" t="s">
        <v>2841</v>
      </c>
      <c r="B74" s="86" t="s">
        <v>2842</v>
      </c>
      <c r="C74" s="87" t="str">
        <f t="shared" si="0"/>
        <v>6 lat/a od dnia zakupu</v>
      </c>
      <c r="D74" s="87">
        <v>44805</v>
      </c>
      <c r="E74" s="87">
        <v>44834</v>
      </c>
      <c r="F74" s="88">
        <v>100</v>
      </c>
      <c r="G74" s="197" t="s">
        <v>8</v>
      </c>
      <c r="H74" s="178">
        <v>19.4512</v>
      </c>
      <c r="I74" s="192" t="s">
        <v>8</v>
      </c>
      <c r="J74" s="63">
        <v>0.067</v>
      </c>
      <c r="K74" s="63">
        <f>$Q74+10.8%</f>
        <v>0.12300000000000001</v>
      </c>
      <c r="L74" s="63"/>
      <c r="M74" s="63"/>
      <c r="N74" s="63"/>
      <c r="O74" s="201"/>
      <c r="P74" s="199"/>
      <c r="Q74" s="181">
        <v>0.015</v>
      </c>
    </row>
    <row r="75" spans="1:17" ht="12.75">
      <c r="A75" s="85" t="s">
        <v>2843</v>
      </c>
      <c r="B75" s="86" t="s">
        <v>2844</v>
      </c>
      <c r="C75" s="87" t="str">
        <f t="shared" si="0"/>
        <v>6 lat/a od dnia zakupu</v>
      </c>
      <c r="D75" s="87">
        <v>44835</v>
      </c>
      <c r="E75" s="87">
        <v>44865</v>
      </c>
      <c r="F75" s="88">
        <v>100</v>
      </c>
      <c r="G75" s="197" t="s">
        <v>8</v>
      </c>
      <c r="H75" s="178">
        <v>26.565</v>
      </c>
      <c r="I75" s="192" t="s">
        <v>8</v>
      </c>
      <c r="J75" s="63">
        <v>0.072</v>
      </c>
      <c r="K75" s="63">
        <f>$Q75+10.1%</f>
        <v>0.11599999999999999</v>
      </c>
      <c r="L75" s="63"/>
      <c r="M75" s="63"/>
      <c r="N75" s="63"/>
      <c r="O75" s="201"/>
      <c r="P75" s="199"/>
      <c r="Q75" s="181">
        <v>0.015</v>
      </c>
    </row>
    <row r="76" spans="1:17" ht="12.75">
      <c r="A76" s="85" t="s">
        <v>2845</v>
      </c>
      <c r="B76" s="86" t="s">
        <v>2846</v>
      </c>
      <c r="C76" s="87" t="str">
        <f t="shared" si="0"/>
        <v>6 lat/a od dnia zakupu</v>
      </c>
      <c r="D76" s="87">
        <v>44866</v>
      </c>
      <c r="E76" s="87">
        <v>44895</v>
      </c>
      <c r="F76" s="88">
        <v>100</v>
      </c>
      <c r="G76" s="197" t="s">
        <v>8</v>
      </c>
      <c r="H76" s="178">
        <v>18.1646</v>
      </c>
      <c r="I76" s="192" t="s">
        <v>8</v>
      </c>
      <c r="J76" s="63">
        <v>0.072</v>
      </c>
      <c r="K76" s="63">
        <f>$Q76+8.2%</f>
        <v>0.09699999999999999</v>
      </c>
      <c r="L76" s="63"/>
      <c r="M76" s="63"/>
      <c r="N76" s="63"/>
      <c r="O76" s="201"/>
      <c r="P76" s="199"/>
      <c r="Q76" s="181">
        <v>0.015</v>
      </c>
    </row>
    <row r="77" spans="1:17" ht="12.75">
      <c r="A77" s="90" t="s">
        <v>2847</v>
      </c>
      <c r="B77" s="91" t="s">
        <v>2848</v>
      </c>
      <c r="C77" s="92" t="str">
        <f t="shared" si="0"/>
        <v>6 lat/a od dnia zakupu</v>
      </c>
      <c r="D77" s="92">
        <v>44896</v>
      </c>
      <c r="E77" s="92">
        <v>44926</v>
      </c>
      <c r="F77" s="93">
        <v>100</v>
      </c>
      <c r="G77" s="194" t="s">
        <v>8</v>
      </c>
      <c r="H77" s="183">
        <v>17.0435</v>
      </c>
      <c r="I77" s="196" t="s">
        <v>8</v>
      </c>
      <c r="J77" s="65">
        <v>0.072</v>
      </c>
      <c r="K77" s="65">
        <f>$Q77+6.6%</f>
        <v>0.081</v>
      </c>
      <c r="L77" s="65"/>
      <c r="M77" s="65"/>
      <c r="N77" s="65"/>
      <c r="O77" s="202"/>
      <c r="P77" s="200"/>
      <c r="Q77" s="184">
        <v>0.015</v>
      </c>
    </row>
    <row r="78" spans="1:17" ht="12.75">
      <c r="A78" s="113" t="s">
        <v>2849</v>
      </c>
      <c r="B78" s="114" t="s">
        <v>2850</v>
      </c>
      <c r="C78" s="136" t="str">
        <f t="shared" si="0"/>
        <v>6 lat/a od dnia zakupu</v>
      </c>
      <c r="D78" s="136">
        <v>44927</v>
      </c>
      <c r="E78" s="136">
        <v>44957</v>
      </c>
      <c r="F78" s="137">
        <v>100</v>
      </c>
      <c r="G78" s="203" t="s">
        <v>8</v>
      </c>
      <c r="H78" s="188">
        <v>17.0552</v>
      </c>
      <c r="I78" s="204" t="s">
        <v>8</v>
      </c>
      <c r="J78" s="66">
        <v>0.072</v>
      </c>
      <c r="K78" s="66">
        <f>$Q78+6.6%</f>
        <v>0.081</v>
      </c>
      <c r="L78" s="66"/>
      <c r="M78" s="66"/>
      <c r="N78" s="66"/>
      <c r="O78" s="205"/>
      <c r="P78" s="198"/>
      <c r="Q78" s="179">
        <v>0.015</v>
      </c>
    </row>
    <row r="79" spans="1:17" ht="12.75">
      <c r="A79" s="85" t="s">
        <v>2851</v>
      </c>
      <c r="B79" s="86" t="s">
        <v>2852</v>
      </c>
      <c r="C79" s="87" t="str">
        <f t="shared" si="0"/>
        <v>6 lat/a od dnia zakupu</v>
      </c>
      <c r="D79" s="87">
        <v>44958</v>
      </c>
      <c r="E79" s="87">
        <v>44985</v>
      </c>
      <c r="F79" s="88">
        <v>100</v>
      </c>
      <c r="G79" s="197" t="s">
        <v>8</v>
      </c>
      <c r="H79" s="178">
        <v>17.7221</v>
      </c>
      <c r="I79" s="192" t="s">
        <v>8</v>
      </c>
      <c r="J79" s="63">
        <v>0.072</v>
      </c>
      <c r="K79" s="63">
        <f>$Q79+6.2%</f>
        <v>0.077</v>
      </c>
      <c r="L79" s="63"/>
      <c r="M79" s="63"/>
      <c r="N79" s="63"/>
      <c r="O79" s="201"/>
      <c r="P79" s="199"/>
      <c r="Q79" s="181">
        <v>0.015</v>
      </c>
    </row>
    <row r="80" spans="1:17" ht="12.75">
      <c r="A80" s="85" t="s">
        <v>2853</v>
      </c>
      <c r="B80" s="86" t="s">
        <v>2854</v>
      </c>
      <c r="C80" s="87" t="str">
        <f t="shared" si="0"/>
        <v>6 lat/a od dnia zakupu</v>
      </c>
      <c r="D80" s="87">
        <v>44986</v>
      </c>
      <c r="E80" s="87">
        <v>45016</v>
      </c>
      <c r="F80" s="88">
        <v>100</v>
      </c>
      <c r="G80" s="197" t="s">
        <v>8</v>
      </c>
      <c r="H80" s="178">
        <v>22.417</v>
      </c>
      <c r="I80" s="192" t="s">
        <v>8</v>
      </c>
      <c r="J80" s="63">
        <v>0.072</v>
      </c>
      <c r="K80" s="63">
        <f>$Q80+3.9%</f>
        <v>0.054</v>
      </c>
      <c r="L80" s="63"/>
      <c r="M80" s="63"/>
      <c r="N80" s="63"/>
      <c r="O80" s="201"/>
      <c r="P80" s="199"/>
      <c r="Q80" s="181">
        <v>0.015</v>
      </c>
    </row>
    <row r="81" spans="1:17" ht="12.75">
      <c r="A81" s="85" t="s">
        <v>2855</v>
      </c>
      <c r="B81" s="86" t="s">
        <v>2856</v>
      </c>
      <c r="C81" s="87" t="str">
        <f t="shared" si="0"/>
        <v>6 lat/a od dnia zakupu</v>
      </c>
      <c r="D81" s="87">
        <v>45017</v>
      </c>
      <c r="E81" s="87">
        <v>45046</v>
      </c>
      <c r="F81" s="88">
        <v>100</v>
      </c>
      <c r="G81" s="197" t="s">
        <v>8</v>
      </c>
      <c r="H81" s="178">
        <v>18.0283</v>
      </c>
      <c r="I81" s="192" t="s">
        <v>8</v>
      </c>
      <c r="J81" s="63">
        <v>0.072</v>
      </c>
      <c r="K81" s="63">
        <f>$Q81+2.8%</f>
        <v>0.043</v>
      </c>
      <c r="L81" s="63"/>
      <c r="M81" s="63"/>
      <c r="N81" s="63"/>
      <c r="O81" s="201"/>
      <c r="P81" s="199"/>
      <c r="Q81" s="181">
        <v>0.015</v>
      </c>
    </row>
    <row r="82" spans="1:17" ht="12.75">
      <c r="A82" s="85" t="s">
        <v>2857</v>
      </c>
      <c r="B82" s="86" t="s">
        <v>2858</v>
      </c>
      <c r="C82" s="87" t="str">
        <f t="shared" si="0"/>
        <v>6 lat/a od dnia zakupu</v>
      </c>
      <c r="D82" s="87">
        <v>45047</v>
      </c>
      <c r="E82" s="87">
        <v>45077</v>
      </c>
      <c r="F82" s="88">
        <v>100</v>
      </c>
      <c r="G82" s="197" t="s">
        <v>8</v>
      </c>
      <c r="H82" s="178">
        <v>20.3084</v>
      </c>
      <c r="I82" s="192" t="s">
        <v>8</v>
      </c>
      <c r="J82" s="63">
        <v>0.072</v>
      </c>
      <c r="K82" s="63"/>
      <c r="L82" s="63"/>
      <c r="M82" s="63"/>
      <c r="N82" s="63"/>
      <c r="O82" s="201"/>
      <c r="P82" s="199"/>
      <c r="Q82" s="181">
        <v>0.015</v>
      </c>
    </row>
    <row r="83" spans="1:17" ht="12.75">
      <c r="A83" s="85" t="s">
        <v>2859</v>
      </c>
      <c r="B83" s="86" t="s">
        <v>2860</v>
      </c>
      <c r="C83" s="87" t="str">
        <f t="shared" si="0"/>
        <v>6 lat/a od dnia zakupu</v>
      </c>
      <c r="D83" s="87">
        <v>45078</v>
      </c>
      <c r="E83" s="87">
        <v>45107</v>
      </c>
      <c r="F83" s="88">
        <v>100</v>
      </c>
      <c r="G83" s="197" t="s">
        <v>8</v>
      </c>
      <c r="H83" s="178">
        <v>14.8188</v>
      </c>
      <c r="I83" s="192" t="s">
        <v>8</v>
      </c>
      <c r="J83" s="63">
        <v>0.072</v>
      </c>
      <c r="K83" s="63"/>
      <c r="L83" s="63"/>
      <c r="M83" s="63"/>
      <c r="N83" s="63"/>
      <c r="O83" s="201"/>
      <c r="P83" s="199"/>
      <c r="Q83" s="181">
        <v>0.015</v>
      </c>
    </row>
    <row r="84" spans="1:17" ht="12.75">
      <c r="A84" s="85" t="s">
        <v>2861</v>
      </c>
      <c r="B84" s="86" t="s">
        <v>2862</v>
      </c>
      <c r="C84" s="87" t="str">
        <f t="shared" si="0"/>
        <v>6 lat/a od dnia zakupu</v>
      </c>
      <c r="D84" s="87">
        <v>45108</v>
      </c>
      <c r="E84" s="87">
        <v>45138</v>
      </c>
      <c r="F84" s="88">
        <v>100</v>
      </c>
      <c r="G84" s="197" t="s">
        <v>8</v>
      </c>
      <c r="H84" s="178">
        <v>17.1006</v>
      </c>
      <c r="I84" s="192" t="s">
        <v>8</v>
      </c>
      <c r="J84" s="63">
        <v>0.072</v>
      </c>
      <c r="K84" s="63"/>
      <c r="L84" s="63"/>
      <c r="M84" s="63"/>
      <c r="N84" s="63"/>
      <c r="O84" s="201"/>
      <c r="P84" s="199"/>
      <c r="Q84" s="181">
        <v>0.015</v>
      </c>
    </row>
    <row r="85" spans="1:17" ht="12.75">
      <c r="A85" s="85" t="s">
        <v>2863</v>
      </c>
      <c r="B85" s="86" t="s">
        <v>2864</v>
      </c>
      <c r="C85" s="87" t="str">
        <f t="shared" si="0"/>
        <v>6 lat/a od dnia zakupu</v>
      </c>
      <c r="D85" s="87">
        <v>45139</v>
      </c>
      <c r="E85" s="87">
        <v>45169</v>
      </c>
      <c r="F85" s="88">
        <v>100</v>
      </c>
      <c r="G85" s="197" t="s">
        <v>8</v>
      </c>
      <c r="H85" s="178">
        <v>20.1028</v>
      </c>
      <c r="I85" s="192" t="s">
        <v>8</v>
      </c>
      <c r="J85" s="63">
        <v>0.072</v>
      </c>
      <c r="K85" s="63"/>
      <c r="L85" s="63"/>
      <c r="M85" s="63"/>
      <c r="N85" s="63"/>
      <c r="O85" s="201"/>
      <c r="P85" s="199"/>
      <c r="Q85" s="181">
        <v>0.015</v>
      </c>
    </row>
    <row r="86" spans="1:17" ht="12.75">
      <c r="A86" s="85" t="s">
        <v>2865</v>
      </c>
      <c r="B86" s="86" t="s">
        <v>2866</v>
      </c>
      <c r="C86" s="87" t="str">
        <f t="shared" si="0"/>
        <v>6 lat/a od dnia zakupu</v>
      </c>
      <c r="D86" s="87">
        <v>45170</v>
      </c>
      <c r="E86" s="87">
        <v>45199</v>
      </c>
      <c r="F86" s="88">
        <v>100</v>
      </c>
      <c r="G86" s="197" t="s">
        <v>8</v>
      </c>
      <c r="H86" s="178">
        <v>28.4131</v>
      </c>
      <c r="I86" s="192" t="s">
        <v>8</v>
      </c>
      <c r="J86" s="63">
        <v>0.072</v>
      </c>
      <c r="K86" s="63"/>
      <c r="L86" s="63"/>
      <c r="M86" s="63"/>
      <c r="N86" s="63"/>
      <c r="O86" s="201"/>
      <c r="P86" s="199"/>
      <c r="Q86" s="181">
        <v>0.015</v>
      </c>
    </row>
    <row r="87" spans="1:17" ht="12.75">
      <c r="A87" s="85" t="s">
        <v>2867</v>
      </c>
      <c r="B87" s="86" t="s">
        <v>2868</v>
      </c>
      <c r="C87" s="87" t="str">
        <f t="shared" si="0"/>
        <v>6 lat/a od dnia zakupu</v>
      </c>
      <c r="D87" s="87">
        <v>45200</v>
      </c>
      <c r="E87" s="87">
        <v>45230</v>
      </c>
      <c r="F87" s="88">
        <v>100</v>
      </c>
      <c r="G87" s="197" t="s">
        <v>8</v>
      </c>
      <c r="H87" s="178">
        <v>52.9109</v>
      </c>
      <c r="I87" s="192" t="s">
        <v>8</v>
      </c>
      <c r="J87" s="63">
        <v>0.072</v>
      </c>
      <c r="K87" s="63"/>
      <c r="L87" s="63"/>
      <c r="M87" s="63"/>
      <c r="N87" s="63"/>
      <c r="O87" s="201"/>
      <c r="P87" s="199"/>
      <c r="Q87" s="181">
        <v>0.0175</v>
      </c>
    </row>
    <row r="88" spans="1:17" ht="12.75">
      <c r="A88" s="85" t="s">
        <v>2869</v>
      </c>
      <c r="B88" s="86" t="s">
        <v>2870</v>
      </c>
      <c r="C88" s="87" t="str">
        <f aca="true" t="shared" si="1" ref="C88:C93">"6"&amp;WykupCOI</f>
        <v>6 lat/a od dnia zakupu</v>
      </c>
      <c r="D88" s="87">
        <v>45231</v>
      </c>
      <c r="E88" s="87">
        <v>45260</v>
      </c>
      <c r="F88" s="88">
        <v>100</v>
      </c>
      <c r="G88" s="197" t="s">
        <v>8</v>
      </c>
      <c r="H88" s="178">
        <v>18.0446</v>
      </c>
      <c r="I88" s="192" t="s">
        <v>8</v>
      </c>
      <c r="J88" s="63">
        <v>0.0695</v>
      </c>
      <c r="K88" s="63"/>
      <c r="L88" s="63"/>
      <c r="M88" s="63"/>
      <c r="N88" s="63"/>
      <c r="O88" s="201"/>
      <c r="P88" s="199"/>
      <c r="Q88" s="181">
        <v>0.0175</v>
      </c>
    </row>
    <row r="89" spans="1:17" s="25" customFormat="1" ht="12.75">
      <c r="A89" s="90" t="s">
        <v>2915</v>
      </c>
      <c r="B89" s="91" t="s">
        <v>2916</v>
      </c>
      <c r="C89" s="92" t="str">
        <f t="shared" si="1"/>
        <v>6 lat/a od dnia zakupu</v>
      </c>
      <c r="D89" s="92">
        <v>45261</v>
      </c>
      <c r="E89" s="92">
        <v>45291</v>
      </c>
      <c r="F89" s="93">
        <v>100</v>
      </c>
      <c r="G89" s="194" t="s">
        <v>8</v>
      </c>
      <c r="H89" s="183">
        <v>24.768</v>
      </c>
      <c r="I89" s="196" t="s">
        <v>8</v>
      </c>
      <c r="J89" s="65">
        <v>0.0695</v>
      </c>
      <c r="K89" s="65"/>
      <c r="L89" s="65"/>
      <c r="M89" s="65"/>
      <c r="N89" s="65"/>
      <c r="O89" s="202"/>
      <c r="P89" s="200"/>
      <c r="Q89" s="184">
        <v>0.0175</v>
      </c>
    </row>
    <row r="90" spans="1:17" ht="12.75">
      <c r="A90" s="85" t="s">
        <v>2931</v>
      </c>
      <c r="B90" s="86" t="s">
        <v>2932</v>
      </c>
      <c r="C90" s="87" t="str">
        <f t="shared" si="1"/>
        <v>6 lat/a od dnia zakupu</v>
      </c>
      <c r="D90" s="87">
        <f>_XLL.NR.SER.DATY(D89,1)</f>
        <v>45292</v>
      </c>
      <c r="E90" s="87">
        <f>_XLL.NR.SER.OST.DN.MIES(D90,0)</f>
        <v>45322</v>
      </c>
      <c r="F90" s="88">
        <v>100</v>
      </c>
      <c r="G90" s="197" t="s">
        <v>8</v>
      </c>
      <c r="H90" s="178">
        <v>22.0662</v>
      </c>
      <c r="I90" s="192" t="s">
        <v>8</v>
      </c>
      <c r="J90" s="63">
        <v>0.0685</v>
      </c>
      <c r="K90" s="63"/>
      <c r="L90" s="63"/>
      <c r="M90" s="63"/>
      <c r="N90" s="63"/>
      <c r="O90" s="201"/>
      <c r="P90" s="199"/>
      <c r="Q90" s="181">
        <v>0.0175</v>
      </c>
    </row>
    <row r="91" spans="1:17" s="7" customFormat="1" ht="12.75">
      <c r="A91" s="85" t="s">
        <v>2947</v>
      </c>
      <c r="B91" s="86" t="s">
        <v>2948</v>
      </c>
      <c r="C91" s="87" t="str">
        <f t="shared" si="1"/>
        <v>6 lat/a od dnia zakupu</v>
      </c>
      <c r="D91" s="87">
        <f>_XLL.NR.SER.DATY(D90,1)</f>
        <v>45323</v>
      </c>
      <c r="E91" s="87">
        <f>_XLL.NR.SER.OST.DN.MIES(D91,0)-1</f>
        <v>45350</v>
      </c>
      <c r="F91" s="88">
        <v>100</v>
      </c>
      <c r="G91" s="197" t="s">
        <v>8</v>
      </c>
      <c r="H91" s="178">
        <v>20.5566</v>
      </c>
      <c r="I91" s="192" t="s">
        <v>8</v>
      </c>
      <c r="J91" s="63">
        <v>0.0675</v>
      </c>
      <c r="K91" s="63"/>
      <c r="L91" s="63"/>
      <c r="M91" s="63"/>
      <c r="N91" s="63"/>
      <c r="O91" s="201"/>
      <c r="P91" s="199"/>
      <c r="Q91" s="181">
        <v>0.0175</v>
      </c>
    </row>
    <row r="92" spans="1:17" s="7" customFormat="1" ht="12.75">
      <c r="A92" s="85" t="s">
        <v>2963</v>
      </c>
      <c r="B92" s="86" t="s">
        <v>2964</v>
      </c>
      <c r="C92" s="87" t="str">
        <f t="shared" si="1"/>
        <v>6 lat/a od dnia zakupu</v>
      </c>
      <c r="D92" s="87">
        <f>_XLL.NR.SER.DATY(D91,1)</f>
        <v>45352</v>
      </c>
      <c r="E92" s="87">
        <f>_XLL.NR.SER.OST.DN.MIES(D92,0)</f>
        <v>45382</v>
      </c>
      <c r="F92" s="88">
        <v>100</v>
      </c>
      <c r="G92" s="197" t="s">
        <v>8</v>
      </c>
      <c r="H92" s="178">
        <v>25.6569</v>
      </c>
      <c r="I92" s="192" t="s">
        <v>8</v>
      </c>
      <c r="J92" s="63">
        <v>0.0675</v>
      </c>
      <c r="K92" s="63"/>
      <c r="L92" s="63"/>
      <c r="M92" s="63"/>
      <c r="N92" s="63"/>
      <c r="O92" s="201"/>
      <c r="P92" s="199"/>
      <c r="Q92" s="181">
        <v>0.0175</v>
      </c>
    </row>
    <row r="93" spans="1:17" s="25" customFormat="1" ht="12.75">
      <c r="A93" s="90" t="s">
        <v>2979</v>
      </c>
      <c r="B93" s="91" t="s">
        <v>2980</v>
      </c>
      <c r="C93" s="92" t="str">
        <f t="shared" si="1"/>
        <v>6 lat/a od dnia zakupu</v>
      </c>
      <c r="D93" s="92">
        <f>_XLL.NR.SER.DATY(D92,1)</f>
        <v>45383</v>
      </c>
      <c r="E93" s="92">
        <f>_XLL.NR.SER.OST.DN.MIES(D93,0)</f>
        <v>45412</v>
      </c>
      <c r="F93" s="93">
        <v>100</v>
      </c>
      <c r="G93" s="194" t="s">
        <v>8</v>
      </c>
      <c r="H93" s="183"/>
      <c r="I93" s="196" t="s">
        <v>8</v>
      </c>
      <c r="J93" s="65">
        <v>0.0675</v>
      </c>
      <c r="K93" s="65"/>
      <c r="L93" s="65"/>
      <c r="M93" s="65"/>
      <c r="N93" s="65"/>
      <c r="O93" s="202"/>
      <c r="P93" s="200"/>
      <c r="Q93" s="184">
        <v>0.0175</v>
      </c>
    </row>
  </sheetData>
  <sheetProtection/>
  <mergeCells count="12">
    <mergeCell ref="G1:G2"/>
    <mergeCell ref="H1:H2"/>
    <mergeCell ref="I1:I2"/>
    <mergeCell ref="Q1:Q2"/>
    <mergeCell ref="J1:O1"/>
    <mergeCell ref="P1:P2"/>
    <mergeCell ref="A1:A2"/>
    <mergeCell ref="B1:B2"/>
    <mergeCell ref="C1:C2"/>
    <mergeCell ref="D1:D2"/>
    <mergeCell ref="E1:E2"/>
    <mergeCell ref="F1:F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  <ignoredErrors>
    <ignoredError sqref="M5 K6:O29 K34:O41 K30:N30 K46:O53 K42:M42 O42 K58:O65 K54:L54 N54:O54 K70:O77 K66 M66:O66 K31:N31 K43:M43 O43 K55:L55 N55:O55 K67 M67:O67 K32:N32 K44:M44 O44 K56:L56 N56:O56 K68 M68:O68 E91 K33:N33 K45:M45 O45 K57:L57 N57:O57 K69 M69:O6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7"/>
  <dimension ref="A1:W93"/>
  <sheetViews>
    <sheetView zoomScale="115" zoomScaleNormal="115" zoomScalePageLayoutView="0" workbookViewId="0" topLeftCell="A1">
      <pane xSplit="2" ySplit="2" topLeftCell="C9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94" sqref="A94"/>
    </sheetView>
  </sheetViews>
  <sheetFormatPr defaultColWidth="0" defaultRowHeight="12.75"/>
  <cols>
    <col min="1" max="1" width="10.875" style="13" customWidth="1"/>
    <col min="2" max="2" width="16.50390625" style="13" customWidth="1"/>
    <col min="3" max="3" width="30.875" style="13" customWidth="1"/>
    <col min="4" max="4" width="17.625" style="13" bestFit="1" customWidth="1"/>
    <col min="5" max="5" width="11.875" style="13" bestFit="1" customWidth="1"/>
    <col min="6" max="6" width="12.50390625" style="13" bestFit="1" customWidth="1"/>
    <col min="7" max="7" width="18.00390625" style="23" bestFit="1" customWidth="1"/>
    <col min="8" max="8" width="11.50390625" style="13" bestFit="1" customWidth="1"/>
    <col min="9" max="9" width="15.875" style="13" customWidth="1"/>
    <col min="10" max="10" width="7.875" style="22" customWidth="1"/>
    <col min="11" max="21" width="7.875" style="34" customWidth="1"/>
    <col min="22" max="22" width="11.00390625" style="34" bestFit="1" customWidth="1"/>
    <col min="23" max="23" width="15.375" style="34" customWidth="1"/>
    <col min="24" max="16384" width="13.875" style="0" hidden="1" customWidth="1"/>
  </cols>
  <sheetData>
    <row r="1" spans="1:23" ht="13.5" customHeight="1" thickBot="1">
      <c r="A1" s="359" t="str">
        <f>Seria</f>
        <v>Seria</v>
      </c>
      <c r="B1" s="359" t="str">
        <f>ISIN</f>
        <v>Kod ISIN</v>
      </c>
      <c r="C1" s="351" t="str">
        <f>Wykup</f>
        <v>Data wykupu</v>
      </c>
      <c r="D1" s="351" t="str">
        <f>PoczatekSprzedazy</f>
        <v>Początek sprzedaży</v>
      </c>
      <c r="E1" s="351" t="str">
        <f>KoniecSprzedazy</f>
        <v>Koniec sprzedaży</v>
      </c>
      <c r="F1" s="351" t="str">
        <f>CenaEmisyjna</f>
        <v>Cena emisyjna</v>
      </c>
      <c r="G1" s="351" t="str">
        <f>switch_price</f>
        <v>Cena zamiany</v>
      </c>
      <c r="H1" s="353" t="str">
        <f>Sprzedaz&amp;" 
(mln zł)"</f>
        <v>Sprzedaż łączna 
(mln zł)</v>
      </c>
      <c r="I1" s="353" t="str">
        <f>switch&amp;" (mln zł)"</f>
        <v>w tym zamiana (mln zł)</v>
      </c>
      <c r="J1" s="355" t="str">
        <f>Oprocentowanie</f>
        <v>Oprocentowanie</v>
      </c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7" t="str">
        <f>Odsetki&amp;" (zł)"</f>
        <v>Odsetki (zł)</v>
      </c>
      <c r="W1" s="357" t="str">
        <f>Marża</f>
        <v>Marża</v>
      </c>
    </row>
    <row r="2" spans="1:23" s="34" customFormat="1" ht="27" customHeight="1" thickBot="1">
      <c r="A2" s="360"/>
      <c r="B2" s="360"/>
      <c r="C2" s="352"/>
      <c r="D2" s="352"/>
      <c r="E2" s="352"/>
      <c r="F2" s="352"/>
      <c r="G2" s="352"/>
      <c r="H2" s="354"/>
      <c r="I2" s="354"/>
      <c r="J2" s="32" t="str">
        <f>FirstYear</f>
        <v> w 1. roku</v>
      </c>
      <c r="K2" s="32" t="str">
        <f>SecondYear</f>
        <v> w 2. roku</v>
      </c>
      <c r="L2" s="32" t="str">
        <f>ThirdYear</f>
        <v> w 3. roku</v>
      </c>
      <c r="M2" s="32" t="str">
        <f>FourthYear</f>
        <v> w 4. roku</v>
      </c>
      <c r="N2" s="32" t="str">
        <f>FifthYear</f>
        <v> w 5. roku</v>
      </c>
      <c r="O2" s="32" t="str">
        <f>Sixth_Year</f>
        <v> w 6. roku</v>
      </c>
      <c r="P2" s="32" t="str">
        <f>SeventhYear</f>
        <v> w 7. roku</v>
      </c>
      <c r="Q2" s="32" t="str">
        <f>EighthYear</f>
        <v> w 8. roku</v>
      </c>
      <c r="R2" s="32" t="str">
        <f>NinthYear</f>
        <v> w 9. roku</v>
      </c>
      <c r="S2" s="32" t="str">
        <f>TenthYear</f>
        <v> w 10. roku</v>
      </c>
      <c r="T2" s="32" t="str">
        <f>EleventhYear</f>
        <v> w 11. roku</v>
      </c>
      <c r="U2" s="32" t="str">
        <f>TwelfthYear</f>
        <v> w 12. roku</v>
      </c>
      <c r="V2" s="358"/>
      <c r="W2" s="358"/>
    </row>
    <row r="3" spans="1:23" ht="12.75">
      <c r="A3" s="85" t="s">
        <v>1561</v>
      </c>
      <c r="B3" s="86" t="s">
        <v>1562</v>
      </c>
      <c r="C3" s="87" t="str">
        <f>"12"&amp;WykupCOI</f>
        <v>12 lat/a od dnia zakupu</v>
      </c>
      <c r="D3" s="87">
        <v>42644</v>
      </c>
      <c r="E3" s="87">
        <v>42674</v>
      </c>
      <c r="F3" s="88">
        <v>100</v>
      </c>
      <c r="G3" s="190" t="s">
        <v>8</v>
      </c>
      <c r="H3" s="191">
        <v>0.305</v>
      </c>
      <c r="I3" s="192" t="s">
        <v>8</v>
      </c>
      <c r="J3" s="64">
        <v>0.03</v>
      </c>
      <c r="K3" s="60">
        <f>$W3+1.8%</f>
        <v>0.038000000000000006</v>
      </c>
      <c r="L3" s="60">
        <f>$W3+2%</f>
        <v>0.04</v>
      </c>
      <c r="M3" s="60">
        <f>$W3+2.9%</f>
        <v>0.049</v>
      </c>
      <c r="N3" s="60">
        <f>$W3+2.9%</f>
        <v>0.049</v>
      </c>
      <c r="O3" s="60">
        <f>$W3+5.5%</f>
        <v>0.075</v>
      </c>
      <c r="P3" s="63">
        <f>$W3+16.1%</f>
        <v>0.181</v>
      </c>
      <c r="Q3" s="63">
        <f>$W3+10.1%</f>
        <v>0.121</v>
      </c>
      <c r="R3" s="76"/>
      <c r="S3" s="76"/>
      <c r="T3" s="76"/>
      <c r="U3" s="76"/>
      <c r="V3" s="76"/>
      <c r="W3" s="73">
        <v>0.02</v>
      </c>
    </row>
    <row r="4" spans="1:23" ht="12.75">
      <c r="A4" s="85" t="s">
        <v>1574</v>
      </c>
      <c r="B4" s="86" t="s">
        <v>1575</v>
      </c>
      <c r="C4" s="87" t="str">
        <f aca="true" t="shared" si="0" ref="C4:C87">"12"&amp;WykupCOI</f>
        <v>12 lat/a od dnia zakupu</v>
      </c>
      <c r="D4" s="87">
        <v>42675</v>
      </c>
      <c r="E4" s="87">
        <v>42704</v>
      </c>
      <c r="F4" s="88">
        <v>100</v>
      </c>
      <c r="G4" s="190" t="s">
        <v>8</v>
      </c>
      <c r="H4" s="178">
        <v>0.6364</v>
      </c>
      <c r="I4" s="192" t="s">
        <v>8</v>
      </c>
      <c r="J4" s="63">
        <v>0.03</v>
      </c>
      <c r="K4" s="63">
        <f>W4+2.2%</f>
        <v>0.042</v>
      </c>
      <c r="L4" s="63">
        <f>$W4+1.9%</f>
        <v>0.039</v>
      </c>
      <c r="M4" s="63">
        <f>$W4+2.6%</f>
        <v>0.046</v>
      </c>
      <c r="N4" s="63">
        <f>$W4+3.2%</f>
        <v>0.052000000000000005</v>
      </c>
      <c r="O4" s="63">
        <f>$W4+5.9%</f>
        <v>0.079</v>
      </c>
      <c r="P4" s="63">
        <f>$W4+17.2%</f>
        <v>0.19199999999999998</v>
      </c>
      <c r="Q4" s="63">
        <f>$W4+8.2%</f>
        <v>0.102</v>
      </c>
      <c r="R4" s="77"/>
      <c r="S4" s="77"/>
      <c r="T4" s="77"/>
      <c r="U4" s="77"/>
      <c r="V4" s="77"/>
      <c r="W4" s="181">
        <v>0.02</v>
      </c>
    </row>
    <row r="5" spans="1:23" ht="12.75">
      <c r="A5" s="90" t="s">
        <v>1585</v>
      </c>
      <c r="B5" s="91" t="s">
        <v>1587</v>
      </c>
      <c r="C5" s="92" t="str">
        <f t="shared" si="0"/>
        <v>12 lat/a od dnia zakupu</v>
      </c>
      <c r="D5" s="92">
        <v>42705</v>
      </c>
      <c r="E5" s="92">
        <v>42735</v>
      </c>
      <c r="F5" s="93">
        <v>100</v>
      </c>
      <c r="G5" s="194" t="s">
        <v>8</v>
      </c>
      <c r="H5" s="183">
        <v>0.6557</v>
      </c>
      <c r="I5" s="196" t="s">
        <v>8</v>
      </c>
      <c r="J5" s="65">
        <v>0.032</v>
      </c>
      <c r="K5" s="65">
        <f>W5+2.1%</f>
        <v>0.041</v>
      </c>
      <c r="L5" s="65">
        <f>$W5+1.8%</f>
        <v>0.038000000000000006</v>
      </c>
      <c r="M5" s="65">
        <f>$W5+2.5%</f>
        <v>0.045</v>
      </c>
      <c r="N5" s="65">
        <f>$W5+3.1%</f>
        <v>0.051000000000000004</v>
      </c>
      <c r="O5" s="63">
        <f>$W5+6.8%</f>
        <v>0.08800000000000001</v>
      </c>
      <c r="P5" s="63">
        <f>$W5+17.9%</f>
        <v>0.19899999999999998</v>
      </c>
      <c r="Q5" s="65">
        <f>$W5+6.6%</f>
        <v>0.08600000000000001</v>
      </c>
      <c r="R5" s="78"/>
      <c r="S5" s="78"/>
      <c r="T5" s="78"/>
      <c r="U5" s="78"/>
      <c r="V5" s="78"/>
      <c r="W5" s="184">
        <v>0.02</v>
      </c>
    </row>
    <row r="6" spans="1:23" s="7" customFormat="1" ht="12.75">
      <c r="A6" s="85" t="s">
        <v>1610</v>
      </c>
      <c r="B6" s="86" t="s">
        <v>1598</v>
      </c>
      <c r="C6" s="87" t="str">
        <f t="shared" si="0"/>
        <v>12 lat/a od dnia zakupu</v>
      </c>
      <c r="D6" s="87">
        <v>42736</v>
      </c>
      <c r="E6" s="87">
        <v>42766</v>
      </c>
      <c r="F6" s="88">
        <v>100</v>
      </c>
      <c r="G6" s="197" t="s">
        <v>8</v>
      </c>
      <c r="H6" s="178">
        <v>0.508</v>
      </c>
      <c r="I6" s="192" t="s">
        <v>8</v>
      </c>
      <c r="J6" s="66">
        <v>0.032</v>
      </c>
      <c r="K6" s="66">
        <f>W6+2.5%</f>
        <v>0.045</v>
      </c>
      <c r="L6" s="66">
        <f>$W6+1.3%</f>
        <v>0.033</v>
      </c>
      <c r="M6" s="66">
        <f>$W6+2.6%</f>
        <v>0.046</v>
      </c>
      <c r="N6" s="66">
        <f>$W6+3%</f>
        <v>0.05</v>
      </c>
      <c r="O6" s="66">
        <f>$W6+7.8%</f>
        <v>0.098</v>
      </c>
      <c r="P6" s="66">
        <f>$W6+17.5%</f>
        <v>0.19499999999999998</v>
      </c>
      <c r="Q6" s="66">
        <f>$W6+6.6%</f>
        <v>0.08600000000000001</v>
      </c>
      <c r="R6" s="66"/>
      <c r="S6" s="66"/>
      <c r="T6" s="66"/>
      <c r="U6" s="207"/>
      <c r="V6" s="207"/>
      <c r="W6" s="179">
        <v>0.02</v>
      </c>
    </row>
    <row r="7" spans="1:23" ht="12.75">
      <c r="A7" s="85" t="s">
        <v>1611</v>
      </c>
      <c r="B7" s="86" t="s">
        <v>1609</v>
      </c>
      <c r="C7" s="87" t="str">
        <f t="shared" si="0"/>
        <v>12 lat/a od dnia zakupu</v>
      </c>
      <c r="D7" s="87">
        <v>42767</v>
      </c>
      <c r="E7" s="87">
        <v>42794</v>
      </c>
      <c r="F7" s="88">
        <v>100</v>
      </c>
      <c r="G7" s="190" t="s">
        <v>8</v>
      </c>
      <c r="H7" s="178">
        <v>0.4616</v>
      </c>
      <c r="I7" s="192" t="s">
        <v>8</v>
      </c>
      <c r="J7" s="63">
        <v>0.032</v>
      </c>
      <c r="K7" s="63">
        <f>W7+2.1%</f>
        <v>0.041</v>
      </c>
      <c r="L7" s="63">
        <f>$W7+1.1%</f>
        <v>0.031</v>
      </c>
      <c r="M7" s="63">
        <f>$W7+3.4%</f>
        <v>0.054000000000000006</v>
      </c>
      <c r="N7" s="63">
        <f>$W7+2.4%</f>
        <v>0.044</v>
      </c>
      <c r="O7" s="63">
        <f>$W7+8.6%</f>
        <v>0.106</v>
      </c>
      <c r="P7" s="63">
        <f>$W7+16.6%</f>
        <v>0.186</v>
      </c>
      <c r="Q7" s="63">
        <f>$W7+6.2%</f>
        <v>0.082</v>
      </c>
      <c r="R7" s="63"/>
      <c r="S7" s="63"/>
      <c r="T7" s="63"/>
      <c r="U7" s="77"/>
      <c r="V7" s="77"/>
      <c r="W7" s="181">
        <v>0.02</v>
      </c>
    </row>
    <row r="8" spans="1:23" ht="12.75">
      <c r="A8" s="85" t="s">
        <v>1659</v>
      </c>
      <c r="B8" s="86" t="s">
        <v>1661</v>
      </c>
      <c r="C8" s="87" t="str">
        <f t="shared" si="0"/>
        <v>12 lat/a od dnia zakupu</v>
      </c>
      <c r="D8" s="87">
        <v>42795</v>
      </c>
      <c r="E8" s="87">
        <v>42825</v>
      </c>
      <c r="F8" s="88">
        <v>100</v>
      </c>
      <c r="G8" s="190" t="s">
        <v>8</v>
      </c>
      <c r="H8" s="178">
        <v>0.6666</v>
      </c>
      <c r="I8" s="192" t="s">
        <v>8</v>
      </c>
      <c r="J8" s="63">
        <v>0.032</v>
      </c>
      <c r="K8" s="63">
        <f>W8+1.9%</f>
        <v>0.039</v>
      </c>
      <c r="L8" s="63">
        <f>$W8+0.9%</f>
        <v>0.029</v>
      </c>
      <c r="M8" s="63">
        <f>$W8+4.4%</f>
        <v>0.064</v>
      </c>
      <c r="N8" s="63">
        <f>$W8+2.7%</f>
        <v>0.047</v>
      </c>
      <c r="O8" s="63">
        <f>$W8+9.2%</f>
        <v>0.112</v>
      </c>
      <c r="P8" s="63">
        <f>$W8+17.2%</f>
        <v>0.19199999999999998</v>
      </c>
      <c r="Q8" s="63">
        <f>$W8+3.9%</f>
        <v>0.059</v>
      </c>
      <c r="R8" s="63"/>
      <c r="S8" s="63"/>
      <c r="T8" s="63"/>
      <c r="U8" s="77"/>
      <c r="V8" s="77"/>
      <c r="W8" s="181">
        <v>0.02</v>
      </c>
    </row>
    <row r="9" spans="1:23" ht="12.75">
      <c r="A9" s="85" t="s">
        <v>1660</v>
      </c>
      <c r="B9" s="86" t="s">
        <v>1662</v>
      </c>
      <c r="C9" s="87" t="str">
        <f t="shared" si="0"/>
        <v>12 lat/a od dnia zakupu</v>
      </c>
      <c r="D9" s="87">
        <v>42826</v>
      </c>
      <c r="E9" s="87">
        <v>42855</v>
      </c>
      <c r="F9" s="88">
        <v>100</v>
      </c>
      <c r="G9" s="190" t="s">
        <v>8</v>
      </c>
      <c r="H9" s="178">
        <v>0.4667</v>
      </c>
      <c r="I9" s="192" t="s">
        <v>8</v>
      </c>
      <c r="J9" s="63">
        <v>0.032</v>
      </c>
      <c r="K9" s="63">
        <f>W9+1.4%</f>
        <v>0.034</v>
      </c>
      <c r="L9" s="63">
        <f>$W9+1.2%</f>
        <v>0.032</v>
      </c>
      <c r="M9" s="63">
        <f>$W9+4.7%</f>
        <v>0.067</v>
      </c>
      <c r="N9" s="63">
        <f>$W9+2.4%</f>
        <v>0.044</v>
      </c>
      <c r="O9" s="63">
        <f>$W9+8.5%</f>
        <v>0.10500000000000001</v>
      </c>
      <c r="P9" s="63">
        <f>$W9+18.4%</f>
        <v>0.204</v>
      </c>
      <c r="Q9" s="63">
        <f>$W9+2.8%</f>
        <v>0.048</v>
      </c>
      <c r="R9" s="63"/>
      <c r="S9" s="63"/>
      <c r="T9" s="63"/>
      <c r="U9" s="77"/>
      <c r="V9" s="77"/>
      <c r="W9" s="181">
        <v>0.02</v>
      </c>
    </row>
    <row r="10" spans="1:23" ht="12.75">
      <c r="A10" s="85" t="s">
        <v>1698</v>
      </c>
      <c r="B10" s="86" t="s">
        <v>1699</v>
      </c>
      <c r="C10" s="87" t="str">
        <f t="shared" si="0"/>
        <v>12 lat/a od dnia zakupu</v>
      </c>
      <c r="D10" s="87">
        <v>42856</v>
      </c>
      <c r="E10" s="87">
        <v>42886</v>
      </c>
      <c r="F10" s="88">
        <v>100</v>
      </c>
      <c r="G10" s="190" t="s">
        <v>8</v>
      </c>
      <c r="H10" s="178">
        <v>0.5916</v>
      </c>
      <c r="I10" s="192" t="s">
        <v>8</v>
      </c>
      <c r="J10" s="63">
        <v>0.032</v>
      </c>
      <c r="K10" s="63">
        <f>W10+1.3%</f>
        <v>0.033</v>
      </c>
      <c r="L10" s="63">
        <f>$W10+1.7%</f>
        <v>0.037000000000000005</v>
      </c>
      <c r="M10" s="63">
        <f>$W10+4.6%</f>
        <v>0.066</v>
      </c>
      <c r="N10" s="63">
        <f>$W10+3.2%</f>
        <v>0.052000000000000005</v>
      </c>
      <c r="O10" s="63">
        <f>$W10+11%</f>
        <v>0.13</v>
      </c>
      <c r="P10" s="63">
        <f>$W10+16.1%</f>
        <v>0.181</v>
      </c>
      <c r="Q10" s="63"/>
      <c r="R10" s="63"/>
      <c r="S10" s="63"/>
      <c r="T10" s="63"/>
      <c r="U10" s="77"/>
      <c r="V10" s="77"/>
      <c r="W10" s="181">
        <v>0.02</v>
      </c>
    </row>
    <row r="11" spans="1:23" ht="12.75">
      <c r="A11" s="85" t="s">
        <v>1710</v>
      </c>
      <c r="B11" s="86" t="s">
        <v>1711</v>
      </c>
      <c r="C11" s="87" t="str">
        <f t="shared" si="0"/>
        <v>12 lat/a od dnia zakupu</v>
      </c>
      <c r="D11" s="87">
        <v>42887</v>
      </c>
      <c r="E11" s="87">
        <v>42916</v>
      </c>
      <c r="F11" s="88">
        <v>100</v>
      </c>
      <c r="G11" s="190" t="s">
        <v>8</v>
      </c>
      <c r="H11" s="178">
        <v>0.5678</v>
      </c>
      <c r="I11" s="192" t="s">
        <v>8</v>
      </c>
      <c r="J11" s="63">
        <v>0.032</v>
      </c>
      <c r="K11" s="63">
        <f>W11+1.6%</f>
        <v>0.036000000000000004</v>
      </c>
      <c r="L11" s="63">
        <f>$W11+2.2%</f>
        <v>0.042</v>
      </c>
      <c r="M11" s="63">
        <f>$W11+3.4%</f>
        <v>0.054000000000000006</v>
      </c>
      <c r="N11" s="63">
        <f>$W11+4.3%</f>
        <v>0.063</v>
      </c>
      <c r="O11" s="63">
        <f>$W11+12.4%</f>
        <v>0.144</v>
      </c>
      <c r="P11" s="63">
        <f>$W11+14.7%</f>
        <v>0.16699999999999998</v>
      </c>
      <c r="Q11" s="63"/>
      <c r="R11" s="63"/>
      <c r="S11" s="63"/>
      <c r="T11" s="63"/>
      <c r="U11" s="77"/>
      <c r="V11" s="77"/>
      <c r="W11" s="181">
        <v>0.02</v>
      </c>
    </row>
    <row r="12" spans="1:23" ht="12.75">
      <c r="A12" s="85" t="s">
        <v>1717</v>
      </c>
      <c r="B12" s="86" t="s">
        <v>1723</v>
      </c>
      <c r="C12" s="87" t="str">
        <f t="shared" si="0"/>
        <v>12 lat/a od dnia zakupu</v>
      </c>
      <c r="D12" s="87">
        <v>42917</v>
      </c>
      <c r="E12" s="87">
        <v>42947</v>
      </c>
      <c r="F12" s="88">
        <v>100</v>
      </c>
      <c r="G12" s="190" t="s">
        <v>8</v>
      </c>
      <c r="H12" s="178">
        <v>0.5677</v>
      </c>
      <c r="I12" s="192" t="s">
        <v>8</v>
      </c>
      <c r="J12" s="63">
        <v>0.032</v>
      </c>
      <c r="K12" s="63">
        <f>W12+1.7%</f>
        <v>0.037000000000000005</v>
      </c>
      <c r="L12" s="63">
        <f>$W12+2.4%</f>
        <v>0.044</v>
      </c>
      <c r="M12" s="63">
        <f>$W12+2.9%</f>
        <v>0.049</v>
      </c>
      <c r="N12" s="63">
        <f>$W12+4.7%</f>
        <v>0.067</v>
      </c>
      <c r="O12" s="63">
        <f>$W12+13.9%</f>
        <v>0.159</v>
      </c>
      <c r="P12" s="63">
        <f>$W12+13%</f>
        <v>0.15</v>
      </c>
      <c r="Q12" s="63"/>
      <c r="R12" s="63"/>
      <c r="S12" s="63"/>
      <c r="T12" s="63"/>
      <c r="U12" s="77"/>
      <c r="V12" s="77"/>
      <c r="W12" s="181">
        <v>0.02</v>
      </c>
    </row>
    <row r="13" spans="1:23" ht="12.75">
      <c r="A13" s="85" t="s">
        <v>1734</v>
      </c>
      <c r="B13" s="86" t="s">
        <v>1735</v>
      </c>
      <c r="C13" s="87" t="str">
        <f t="shared" si="0"/>
        <v>12 lat/a od dnia zakupu</v>
      </c>
      <c r="D13" s="87">
        <v>42948</v>
      </c>
      <c r="E13" s="87">
        <v>42978</v>
      </c>
      <c r="F13" s="88">
        <v>100</v>
      </c>
      <c r="G13" s="190" t="s">
        <v>8</v>
      </c>
      <c r="H13" s="178">
        <v>0.6008</v>
      </c>
      <c r="I13" s="192" t="s">
        <v>8</v>
      </c>
      <c r="J13" s="63">
        <v>0.032</v>
      </c>
      <c r="K13" s="63">
        <f>W13+2%</f>
        <v>0.04</v>
      </c>
      <c r="L13" s="63">
        <f>$W13+2.6%</f>
        <v>0.046</v>
      </c>
      <c r="M13" s="63">
        <f>$W13+3.3%</f>
        <v>0.053000000000000005</v>
      </c>
      <c r="N13" s="63">
        <f>$W13+4.4%</f>
        <v>0.064</v>
      </c>
      <c r="O13" s="63">
        <f>$W13+15.5%</f>
        <v>0.175</v>
      </c>
      <c r="P13" s="63">
        <f>$W13+11.5%</f>
        <v>0.135</v>
      </c>
      <c r="Q13" s="63"/>
      <c r="R13" s="63"/>
      <c r="S13" s="63"/>
      <c r="T13" s="63"/>
      <c r="U13" s="77"/>
      <c r="V13" s="77"/>
      <c r="W13" s="181">
        <v>0.02</v>
      </c>
    </row>
    <row r="14" spans="1:23" ht="12.75">
      <c r="A14" s="85" t="s">
        <v>1746</v>
      </c>
      <c r="B14" s="86" t="s">
        <v>1747</v>
      </c>
      <c r="C14" s="87" t="str">
        <f t="shared" si="0"/>
        <v>12 lat/a od dnia zakupu</v>
      </c>
      <c r="D14" s="87">
        <v>42979</v>
      </c>
      <c r="E14" s="87">
        <v>43008</v>
      </c>
      <c r="F14" s="88">
        <v>100</v>
      </c>
      <c r="G14" s="190" t="s">
        <v>8</v>
      </c>
      <c r="H14" s="178">
        <v>0.6837</v>
      </c>
      <c r="I14" s="192" t="s">
        <v>8</v>
      </c>
      <c r="J14" s="63">
        <v>0.032</v>
      </c>
      <c r="K14" s="63">
        <f>W14+2%</f>
        <v>0.04</v>
      </c>
      <c r="L14" s="63">
        <f>$W14+2.9%</f>
        <v>0.049</v>
      </c>
      <c r="M14" s="63">
        <f>$W14+3%</f>
        <v>0.05</v>
      </c>
      <c r="N14" s="63">
        <f>$W14+5%</f>
        <v>0.07</v>
      </c>
      <c r="O14" s="63">
        <f>$W14+15.6%</f>
        <v>0.176</v>
      </c>
      <c r="P14" s="63">
        <f>$W14+10.8%</f>
        <v>0.128</v>
      </c>
      <c r="Q14" s="63"/>
      <c r="R14" s="63"/>
      <c r="S14" s="63"/>
      <c r="T14" s="63"/>
      <c r="U14" s="77"/>
      <c r="V14" s="77"/>
      <c r="W14" s="181">
        <v>0.02</v>
      </c>
    </row>
    <row r="15" spans="1:23" ht="12.75">
      <c r="A15" s="85" t="s">
        <v>1762</v>
      </c>
      <c r="B15" s="86" t="s">
        <v>1763</v>
      </c>
      <c r="C15" s="87" t="str">
        <f t="shared" si="0"/>
        <v>12 lat/a od dnia zakupu</v>
      </c>
      <c r="D15" s="87">
        <v>43009</v>
      </c>
      <c r="E15" s="87">
        <v>43039</v>
      </c>
      <c r="F15" s="88">
        <v>100</v>
      </c>
      <c r="G15" s="190" t="s">
        <v>8</v>
      </c>
      <c r="H15" s="178">
        <v>0.7479</v>
      </c>
      <c r="I15" s="192" t="s">
        <v>8</v>
      </c>
      <c r="J15" s="63">
        <v>0.032</v>
      </c>
      <c r="K15" s="63">
        <f>W15+2%</f>
        <v>0.04</v>
      </c>
      <c r="L15" s="63">
        <f>$W15+2.9%</f>
        <v>0.049</v>
      </c>
      <c r="M15" s="63">
        <f>$W15+2.9%</f>
        <v>0.049</v>
      </c>
      <c r="N15" s="63">
        <f>$W15+5.5%</f>
        <v>0.075</v>
      </c>
      <c r="O15" s="63">
        <f>$W15+16.1%</f>
        <v>0.181</v>
      </c>
      <c r="P15" s="63">
        <f>$W15+10.1%</f>
        <v>0.121</v>
      </c>
      <c r="Q15" s="63"/>
      <c r="R15" s="63"/>
      <c r="S15" s="63"/>
      <c r="T15" s="63"/>
      <c r="U15" s="77"/>
      <c r="V15" s="77"/>
      <c r="W15" s="181">
        <v>0.02</v>
      </c>
    </row>
    <row r="16" spans="1:23" ht="12.75">
      <c r="A16" s="85" t="s">
        <v>1776</v>
      </c>
      <c r="B16" s="86" t="s">
        <v>1777</v>
      </c>
      <c r="C16" s="87" t="str">
        <f t="shared" si="0"/>
        <v>12 lat/a od dnia zakupu</v>
      </c>
      <c r="D16" s="87">
        <v>43040</v>
      </c>
      <c r="E16" s="87">
        <v>43069</v>
      </c>
      <c r="F16" s="88">
        <v>100</v>
      </c>
      <c r="G16" s="190" t="s">
        <v>8</v>
      </c>
      <c r="H16" s="178">
        <v>1.0296</v>
      </c>
      <c r="I16" s="192" t="s">
        <v>8</v>
      </c>
      <c r="J16" s="63">
        <v>0.032</v>
      </c>
      <c r="K16" s="63">
        <f>$W16+1.9%</f>
        <v>0.039</v>
      </c>
      <c r="L16" s="63">
        <f>$W16+2.6%</f>
        <v>0.046</v>
      </c>
      <c r="M16" s="63">
        <f>$W16+3.2%</f>
        <v>0.052000000000000005</v>
      </c>
      <c r="N16" s="63">
        <f>$W16+5.9%</f>
        <v>0.079</v>
      </c>
      <c r="O16" s="63">
        <f>$W16+17.2%</f>
        <v>0.19199999999999998</v>
      </c>
      <c r="P16" s="63">
        <f>$W16+8.2%</f>
        <v>0.102</v>
      </c>
      <c r="Q16" s="63"/>
      <c r="R16" s="63"/>
      <c r="S16" s="63"/>
      <c r="T16" s="63"/>
      <c r="U16" s="77"/>
      <c r="V16" s="77"/>
      <c r="W16" s="181">
        <v>0.02</v>
      </c>
    </row>
    <row r="17" spans="1:23" ht="12.75">
      <c r="A17" s="90" t="s">
        <v>1790</v>
      </c>
      <c r="B17" s="91" t="s">
        <v>1791</v>
      </c>
      <c r="C17" s="92" t="str">
        <f t="shared" si="0"/>
        <v>12 lat/a od dnia zakupu</v>
      </c>
      <c r="D17" s="92">
        <v>43070</v>
      </c>
      <c r="E17" s="92">
        <v>43100</v>
      </c>
      <c r="F17" s="93">
        <v>100</v>
      </c>
      <c r="G17" s="194" t="s">
        <v>8</v>
      </c>
      <c r="H17" s="183">
        <v>1.4057</v>
      </c>
      <c r="I17" s="196" t="s">
        <v>8</v>
      </c>
      <c r="J17" s="65">
        <v>0.032</v>
      </c>
      <c r="K17" s="65">
        <f>$W17+1.8%</f>
        <v>0.038000000000000006</v>
      </c>
      <c r="L17" s="65">
        <f>$W17+2.5%</f>
        <v>0.045</v>
      </c>
      <c r="M17" s="65">
        <f>$W17+3.1%</f>
        <v>0.051000000000000004</v>
      </c>
      <c r="N17" s="63">
        <f>$W17+6.8%</f>
        <v>0.08800000000000001</v>
      </c>
      <c r="O17" s="63">
        <f>$W17+17.9%</f>
        <v>0.19899999999999998</v>
      </c>
      <c r="P17" s="65">
        <f>$W17+6.6%</f>
        <v>0.08600000000000001</v>
      </c>
      <c r="Q17" s="65"/>
      <c r="R17" s="65"/>
      <c r="S17" s="65"/>
      <c r="T17" s="65"/>
      <c r="U17" s="78"/>
      <c r="V17" s="78"/>
      <c r="W17" s="184">
        <v>0.02</v>
      </c>
    </row>
    <row r="18" spans="1:23" s="7" customFormat="1" ht="12.75">
      <c r="A18" s="85" t="s">
        <v>1798</v>
      </c>
      <c r="B18" s="86" t="s">
        <v>1805</v>
      </c>
      <c r="C18" s="87" t="str">
        <f t="shared" si="0"/>
        <v>12 lat/a od dnia zakupu</v>
      </c>
      <c r="D18" s="87">
        <v>43101</v>
      </c>
      <c r="E18" s="87">
        <v>43131</v>
      </c>
      <c r="F18" s="88">
        <v>100</v>
      </c>
      <c r="G18" s="197" t="s">
        <v>8</v>
      </c>
      <c r="H18" s="178">
        <v>1.5684</v>
      </c>
      <c r="I18" s="192" t="s">
        <v>8</v>
      </c>
      <c r="J18" s="63">
        <v>0.032</v>
      </c>
      <c r="K18" s="66">
        <f>$W18+1.3%</f>
        <v>0.033</v>
      </c>
      <c r="L18" s="66">
        <f>$W18+2.6%</f>
        <v>0.046</v>
      </c>
      <c r="M18" s="66">
        <f>$W18+3%</f>
        <v>0.05</v>
      </c>
      <c r="N18" s="66">
        <f>$W18+7.8%</f>
        <v>0.098</v>
      </c>
      <c r="O18" s="66">
        <f>$W18+17.5%</f>
        <v>0.19499999999999998</v>
      </c>
      <c r="P18" s="66">
        <f>$W18+6.6%</f>
        <v>0.08600000000000001</v>
      </c>
      <c r="Q18" s="66"/>
      <c r="R18" s="66"/>
      <c r="S18" s="66"/>
      <c r="T18" s="66"/>
      <c r="U18" s="77"/>
      <c r="V18" s="77"/>
      <c r="W18" s="181">
        <v>0.02</v>
      </c>
    </row>
    <row r="19" spans="1:23" s="7" customFormat="1" ht="12.75">
      <c r="A19" s="85" t="s">
        <v>1812</v>
      </c>
      <c r="B19" s="86" t="s">
        <v>1819</v>
      </c>
      <c r="C19" s="87" t="str">
        <f t="shared" si="0"/>
        <v>12 lat/a od dnia zakupu</v>
      </c>
      <c r="D19" s="87">
        <v>43132</v>
      </c>
      <c r="E19" s="87">
        <v>43159</v>
      </c>
      <c r="F19" s="88">
        <v>100</v>
      </c>
      <c r="G19" s="197" t="s">
        <v>8</v>
      </c>
      <c r="H19" s="178">
        <v>1.3182</v>
      </c>
      <c r="I19" s="192" t="s">
        <v>8</v>
      </c>
      <c r="J19" s="63">
        <v>0.032</v>
      </c>
      <c r="K19" s="63">
        <f>$W19+1.1%</f>
        <v>0.031</v>
      </c>
      <c r="L19" s="63">
        <f>$W19+3.4%</f>
        <v>0.054000000000000006</v>
      </c>
      <c r="M19" s="63">
        <f>$W19+2.4%</f>
        <v>0.044</v>
      </c>
      <c r="N19" s="63">
        <f>$W19+8.6%</f>
        <v>0.106</v>
      </c>
      <c r="O19" s="63">
        <f>$W19+16.6%</f>
        <v>0.186</v>
      </c>
      <c r="P19" s="63">
        <f>$W19+6.2%</f>
        <v>0.082</v>
      </c>
      <c r="Q19" s="63"/>
      <c r="R19" s="63"/>
      <c r="S19" s="63"/>
      <c r="T19" s="63"/>
      <c r="U19" s="77"/>
      <c r="V19" s="77"/>
      <c r="W19" s="181">
        <v>0.02</v>
      </c>
    </row>
    <row r="20" spans="1:23" s="7" customFormat="1" ht="12.75">
      <c r="A20" s="85" t="s">
        <v>1832</v>
      </c>
      <c r="B20" s="86" t="s">
        <v>1833</v>
      </c>
      <c r="C20" s="87" t="str">
        <f t="shared" si="0"/>
        <v>12 lat/a od dnia zakupu</v>
      </c>
      <c r="D20" s="87">
        <v>43160</v>
      </c>
      <c r="E20" s="87">
        <v>43190</v>
      </c>
      <c r="F20" s="88">
        <v>100</v>
      </c>
      <c r="G20" s="197" t="s">
        <v>8</v>
      </c>
      <c r="H20" s="178">
        <v>1.3527</v>
      </c>
      <c r="I20" s="192" t="s">
        <v>8</v>
      </c>
      <c r="J20" s="63">
        <v>0.032</v>
      </c>
      <c r="K20" s="63">
        <f>$W20+0.9%</f>
        <v>0.029</v>
      </c>
      <c r="L20" s="63">
        <f>$W20+4.4%</f>
        <v>0.064</v>
      </c>
      <c r="M20" s="63">
        <f>$W20+2.7%</f>
        <v>0.047</v>
      </c>
      <c r="N20" s="63">
        <f>$W20+9.2%</f>
        <v>0.112</v>
      </c>
      <c r="O20" s="63">
        <f>$W20+17.2%</f>
        <v>0.19199999999999998</v>
      </c>
      <c r="P20" s="63">
        <f>$W20+3.9%</f>
        <v>0.059</v>
      </c>
      <c r="Q20" s="63"/>
      <c r="R20" s="63"/>
      <c r="S20" s="63"/>
      <c r="T20" s="63"/>
      <c r="U20" s="77"/>
      <c r="V20" s="77"/>
      <c r="W20" s="181">
        <v>0.02</v>
      </c>
    </row>
    <row r="21" spans="1:23" s="7" customFormat="1" ht="12.75">
      <c r="A21" s="85" t="s">
        <v>1846</v>
      </c>
      <c r="B21" s="86" t="s">
        <v>1847</v>
      </c>
      <c r="C21" s="87" t="str">
        <f t="shared" si="0"/>
        <v>12 lat/a od dnia zakupu</v>
      </c>
      <c r="D21" s="87">
        <v>43191</v>
      </c>
      <c r="E21" s="87">
        <v>43220</v>
      </c>
      <c r="F21" s="88">
        <v>100</v>
      </c>
      <c r="G21" s="197" t="s">
        <v>8</v>
      </c>
      <c r="H21" s="178">
        <v>0.9654</v>
      </c>
      <c r="I21" s="192" t="s">
        <v>8</v>
      </c>
      <c r="J21" s="63">
        <v>0.032</v>
      </c>
      <c r="K21" s="63">
        <f>$W21+1.2%</f>
        <v>0.032</v>
      </c>
      <c r="L21" s="63">
        <f>$W21+4.7%</f>
        <v>0.067</v>
      </c>
      <c r="M21" s="63">
        <f>$W21+2.4%</f>
        <v>0.044</v>
      </c>
      <c r="N21" s="63">
        <f>$W21+8.5%</f>
        <v>0.10500000000000001</v>
      </c>
      <c r="O21" s="63">
        <f>$W21+18.4%</f>
        <v>0.204</v>
      </c>
      <c r="P21" s="63">
        <f>$W21+2.8%</f>
        <v>0.048</v>
      </c>
      <c r="Q21" s="63"/>
      <c r="R21" s="63"/>
      <c r="S21" s="63"/>
      <c r="T21" s="63"/>
      <c r="U21" s="77"/>
      <c r="V21" s="77"/>
      <c r="W21" s="181">
        <v>0.02</v>
      </c>
    </row>
    <row r="22" spans="1:23" s="7" customFormat="1" ht="12.75">
      <c r="A22" s="85" t="s">
        <v>1859</v>
      </c>
      <c r="B22" s="86" t="s">
        <v>1860</v>
      </c>
      <c r="C22" s="87" t="str">
        <f t="shared" si="0"/>
        <v>12 lat/a od dnia zakupu</v>
      </c>
      <c r="D22" s="87">
        <v>43221</v>
      </c>
      <c r="E22" s="87">
        <v>43251</v>
      </c>
      <c r="F22" s="88">
        <v>100</v>
      </c>
      <c r="G22" s="197" t="s">
        <v>8</v>
      </c>
      <c r="H22" s="178">
        <v>1.19</v>
      </c>
      <c r="I22" s="192" t="s">
        <v>8</v>
      </c>
      <c r="J22" s="63">
        <v>0.032</v>
      </c>
      <c r="K22" s="63">
        <f>$W22+1.7%</f>
        <v>0.037000000000000005</v>
      </c>
      <c r="L22" s="63">
        <f>$W22+4.6%</f>
        <v>0.066</v>
      </c>
      <c r="M22" s="63">
        <f>$W22+3.2%</f>
        <v>0.052000000000000005</v>
      </c>
      <c r="N22" s="63">
        <f>$W22+11%</f>
        <v>0.13</v>
      </c>
      <c r="O22" s="63">
        <f>$W22+16.1%</f>
        <v>0.181</v>
      </c>
      <c r="P22" s="63"/>
      <c r="Q22" s="63"/>
      <c r="R22" s="63"/>
      <c r="S22" s="63"/>
      <c r="T22" s="63"/>
      <c r="U22" s="77"/>
      <c r="V22" s="77"/>
      <c r="W22" s="181">
        <v>0.02</v>
      </c>
    </row>
    <row r="23" spans="1:23" s="7" customFormat="1" ht="12.75">
      <c r="A23" s="85" t="s">
        <v>1879</v>
      </c>
      <c r="B23" s="86" t="s">
        <v>1880</v>
      </c>
      <c r="C23" s="87" t="str">
        <f t="shared" si="0"/>
        <v>12 lat/a od dnia zakupu</v>
      </c>
      <c r="D23" s="87">
        <v>43252</v>
      </c>
      <c r="E23" s="87">
        <v>43281</v>
      </c>
      <c r="F23" s="88">
        <v>100</v>
      </c>
      <c r="G23" s="197" t="s">
        <v>8</v>
      </c>
      <c r="H23" s="178">
        <v>1.1093</v>
      </c>
      <c r="I23" s="192" t="s">
        <v>8</v>
      </c>
      <c r="J23" s="63">
        <v>0.032</v>
      </c>
      <c r="K23" s="63">
        <f>$W23+2.2%</f>
        <v>0.042</v>
      </c>
      <c r="L23" s="63">
        <f>$W23+3.4%</f>
        <v>0.054000000000000006</v>
      </c>
      <c r="M23" s="63">
        <f>$W23+4.3%</f>
        <v>0.063</v>
      </c>
      <c r="N23" s="63">
        <f>$W23+12.4%</f>
        <v>0.144</v>
      </c>
      <c r="O23" s="63">
        <f>$W23+14.7%</f>
        <v>0.16699999999999998</v>
      </c>
      <c r="P23" s="63"/>
      <c r="Q23" s="63"/>
      <c r="R23" s="63"/>
      <c r="S23" s="63"/>
      <c r="T23" s="63"/>
      <c r="U23" s="77"/>
      <c r="V23" s="77"/>
      <c r="W23" s="181">
        <v>0.02</v>
      </c>
    </row>
    <row r="24" spans="1:23" s="7" customFormat="1" ht="12.75">
      <c r="A24" s="85" t="s">
        <v>1895</v>
      </c>
      <c r="B24" s="86" t="s">
        <v>1896</v>
      </c>
      <c r="C24" s="87" t="str">
        <f t="shared" si="0"/>
        <v>12 lat/a od dnia zakupu</v>
      </c>
      <c r="D24" s="87">
        <v>43282</v>
      </c>
      <c r="E24" s="87">
        <v>43312</v>
      </c>
      <c r="F24" s="88">
        <v>100</v>
      </c>
      <c r="G24" s="197" t="s">
        <v>8</v>
      </c>
      <c r="H24" s="178">
        <v>1.2955</v>
      </c>
      <c r="I24" s="192" t="s">
        <v>8</v>
      </c>
      <c r="J24" s="63">
        <v>0.032</v>
      </c>
      <c r="K24" s="63">
        <f>$W24+2.4%</f>
        <v>0.044</v>
      </c>
      <c r="L24" s="63">
        <f>$W24+2.9%</f>
        <v>0.049</v>
      </c>
      <c r="M24" s="63">
        <f>$W24+4.7%</f>
        <v>0.067</v>
      </c>
      <c r="N24" s="63">
        <f>$W24+13.9%</f>
        <v>0.159</v>
      </c>
      <c r="O24" s="63">
        <f>$W24+13%</f>
        <v>0.15</v>
      </c>
      <c r="P24" s="63"/>
      <c r="Q24" s="63"/>
      <c r="R24" s="63"/>
      <c r="S24" s="63"/>
      <c r="T24" s="63"/>
      <c r="U24" s="77"/>
      <c r="V24" s="77"/>
      <c r="W24" s="181">
        <v>0.02</v>
      </c>
    </row>
    <row r="25" spans="1:23" s="7" customFormat="1" ht="12.75">
      <c r="A25" s="85" t="s">
        <v>1909</v>
      </c>
      <c r="B25" s="86" t="s">
        <v>1910</v>
      </c>
      <c r="C25" s="87" t="str">
        <f t="shared" si="0"/>
        <v>12 lat/a od dnia zakupu</v>
      </c>
      <c r="D25" s="87">
        <v>43313</v>
      </c>
      <c r="E25" s="87">
        <v>43343</v>
      </c>
      <c r="F25" s="88">
        <v>100</v>
      </c>
      <c r="G25" s="197" t="s">
        <v>8</v>
      </c>
      <c r="H25" s="178">
        <v>1.344</v>
      </c>
      <c r="I25" s="192" t="s">
        <v>8</v>
      </c>
      <c r="J25" s="63">
        <v>0.032</v>
      </c>
      <c r="K25" s="63">
        <f>$W25+2.6%</f>
        <v>0.046</v>
      </c>
      <c r="L25" s="63">
        <f>$W25+3.3%</f>
        <v>0.053000000000000005</v>
      </c>
      <c r="M25" s="63">
        <f>$W25+4.4%</f>
        <v>0.064</v>
      </c>
      <c r="N25" s="63">
        <f>$W25+15.5%</f>
        <v>0.175</v>
      </c>
      <c r="O25" s="63">
        <f>$W25+11.5%</f>
        <v>0.135</v>
      </c>
      <c r="P25" s="63"/>
      <c r="Q25" s="63"/>
      <c r="R25" s="63"/>
      <c r="S25" s="63"/>
      <c r="T25" s="63"/>
      <c r="U25" s="77"/>
      <c r="V25" s="77"/>
      <c r="W25" s="181">
        <v>0.02</v>
      </c>
    </row>
    <row r="26" spans="1:23" s="7" customFormat="1" ht="12.75">
      <c r="A26" s="85" t="s">
        <v>1923</v>
      </c>
      <c r="B26" s="86" t="s">
        <v>1924</v>
      </c>
      <c r="C26" s="87" t="str">
        <f t="shared" si="0"/>
        <v>12 lat/a od dnia zakupu</v>
      </c>
      <c r="D26" s="87">
        <v>43344</v>
      </c>
      <c r="E26" s="87">
        <v>43373</v>
      </c>
      <c r="F26" s="88">
        <v>100</v>
      </c>
      <c r="G26" s="197" t="s">
        <v>8</v>
      </c>
      <c r="H26" s="178">
        <v>1.4678</v>
      </c>
      <c r="I26" s="192" t="s">
        <v>8</v>
      </c>
      <c r="J26" s="63">
        <v>0.032</v>
      </c>
      <c r="K26" s="63">
        <f>$W26+2.9%</f>
        <v>0.049</v>
      </c>
      <c r="L26" s="63">
        <f>$W26+3%</f>
        <v>0.05</v>
      </c>
      <c r="M26" s="63">
        <f>$W26+5%</f>
        <v>0.07</v>
      </c>
      <c r="N26" s="63">
        <f>$W26+15.6%</f>
        <v>0.176</v>
      </c>
      <c r="O26" s="63">
        <f>$W26+10.8%</f>
        <v>0.128</v>
      </c>
      <c r="P26" s="63"/>
      <c r="Q26" s="63"/>
      <c r="R26" s="63"/>
      <c r="S26" s="63"/>
      <c r="T26" s="63"/>
      <c r="U26" s="77"/>
      <c r="V26" s="77"/>
      <c r="W26" s="181">
        <v>0.02</v>
      </c>
    </row>
    <row r="27" spans="1:23" s="7" customFormat="1" ht="12.75">
      <c r="A27" s="85" t="s">
        <v>1937</v>
      </c>
      <c r="B27" s="86" t="s">
        <v>1938</v>
      </c>
      <c r="C27" s="87" t="str">
        <f t="shared" si="0"/>
        <v>12 lat/a od dnia zakupu</v>
      </c>
      <c r="D27" s="87">
        <v>43374</v>
      </c>
      <c r="E27" s="87">
        <v>43404</v>
      </c>
      <c r="F27" s="88">
        <v>100</v>
      </c>
      <c r="G27" s="197" t="s">
        <v>8</v>
      </c>
      <c r="H27" s="178">
        <v>1.3162</v>
      </c>
      <c r="I27" s="192" t="s">
        <v>8</v>
      </c>
      <c r="J27" s="63">
        <v>0.032</v>
      </c>
      <c r="K27" s="63">
        <f>$W27+2.9%</f>
        <v>0.049</v>
      </c>
      <c r="L27" s="63">
        <f>$W27+2.9%</f>
        <v>0.049</v>
      </c>
      <c r="M27" s="63">
        <f>$W27+5.5%</f>
        <v>0.075</v>
      </c>
      <c r="N27" s="63">
        <f>$W27+16.1%</f>
        <v>0.181</v>
      </c>
      <c r="O27" s="63">
        <f>$W27+10.1%</f>
        <v>0.121</v>
      </c>
      <c r="P27" s="63"/>
      <c r="Q27" s="63"/>
      <c r="R27" s="63"/>
      <c r="S27" s="63"/>
      <c r="T27" s="63"/>
      <c r="U27" s="77"/>
      <c r="V27" s="77"/>
      <c r="W27" s="181">
        <v>0.02</v>
      </c>
    </row>
    <row r="28" spans="1:23" s="7" customFormat="1" ht="12.75">
      <c r="A28" s="85" t="s">
        <v>1951</v>
      </c>
      <c r="B28" s="86" t="s">
        <v>1952</v>
      </c>
      <c r="C28" s="87" t="str">
        <f t="shared" si="0"/>
        <v>12 lat/a od dnia zakupu</v>
      </c>
      <c r="D28" s="87">
        <v>43405</v>
      </c>
      <c r="E28" s="87">
        <v>43434</v>
      </c>
      <c r="F28" s="88">
        <v>100</v>
      </c>
      <c r="G28" s="197" t="s">
        <v>8</v>
      </c>
      <c r="H28" s="178">
        <v>1.8313</v>
      </c>
      <c r="I28" s="192" t="s">
        <v>8</v>
      </c>
      <c r="J28" s="63">
        <v>0.032</v>
      </c>
      <c r="K28" s="63">
        <f>$W28+2.6%</f>
        <v>0.046</v>
      </c>
      <c r="L28" s="63">
        <f>$W28+3.2%</f>
        <v>0.052000000000000005</v>
      </c>
      <c r="M28" s="63">
        <f>$W28+5.9%</f>
        <v>0.079</v>
      </c>
      <c r="N28" s="63">
        <f>$W28+17.2%</f>
        <v>0.19199999999999998</v>
      </c>
      <c r="O28" s="63">
        <f>$W28+8.2%</f>
        <v>0.102</v>
      </c>
      <c r="P28" s="63"/>
      <c r="Q28" s="63"/>
      <c r="R28" s="63"/>
      <c r="S28" s="63"/>
      <c r="T28" s="63"/>
      <c r="U28" s="77"/>
      <c r="V28" s="77"/>
      <c r="W28" s="181">
        <v>0.02</v>
      </c>
    </row>
    <row r="29" spans="1:23" ht="12.75">
      <c r="A29" s="90" t="s">
        <v>1965</v>
      </c>
      <c r="B29" s="91" t="s">
        <v>1966</v>
      </c>
      <c r="C29" s="92" t="str">
        <f t="shared" si="0"/>
        <v>12 lat/a od dnia zakupu</v>
      </c>
      <c r="D29" s="92">
        <v>43435</v>
      </c>
      <c r="E29" s="92">
        <v>43465</v>
      </c>
      <c r="F29" s="93">
        <v>100</v>
      </c>
      <c r="G29" s="194" t="s">
        <v>8</v>
      </c>
      <c r="H29" s="183">
        <v>1.6255</v>
      </c>
      <c r="I29" s="196" t="s">
        <v>8</v>
      </c>
      <c r="J29" s="65">
        <v>0.032</v>
      </c>
      <c r="K29" s="65">
        <f>$W29+2.5%</f>
        <v>0.045</v>
      </c>
      <c r="L29" s="65">
        <f>$W29+3.1%</f>
        <v>0.051000000000000004</v>
      </c>
      <c r="M29" s="63">
        <f>$W29+6.8%</f>
        <v>0.08800000000000001</v>
      </c>
      <c r="N29" s="63">
        <f>$W29+17.9%</f>
        <v>0.19899999999999998</v>
      </c>
      <c r="O29" s="65">
        <f>$W29+6.6%</f>
        <v>0.08600000000000001</v>
      </c>
      <c r="P29" s="65"/>
      <c r="Q29" s="65"/>
      <c r="R29" s="65"/>
      <c r="S29" s="65"/>
      <c r="T29" s="65"/>
      <c r="U29" s="78"/>
      <c r="V29" s="78"/>
      <c r="W29" s="184">
        <v>0.02</v>
      </c>
    </row>
    <row r="30" spans="1:23" s="7" customFormat="1" ht="12.75">
      <c r="A30" s="85" t="s">
        <v>1979</v>
      </c>
      <c r="B30" s="86" t="s">
        <v>1980</v>
      </c>
      <c r="C30" s="87" t="str">
        <f t="shared" si="0"/>
        <v>12 lat/a od dnia zakupu</v>
      </c>
      <c r="D30" s="87">
        <v>43466</v>
      </c>
      <c r="E30" s="87">
        <v>43496</v>
      </c>
      <c r="F30" s="88">
        <v>100</v>
      </c>
      <c r="G30" s="197" t="s">
        <v>8</v>
      </c>
      <c r="H30" s="178">
        <v>1.4365</v>
      </c>
      <c r="I30" s="192" t="s">
        <v>8</v>
      </c>
      <c r="J30" s="63">
        <v>0.032</v>
      </c>
      <c r="K30" s="66">
        <f>$W30+2.6%</f>
        <v>0.046</v>
      </c>
      <c r="L30" s="66">
        <f>$W30+3%</f>
        <v>0.05</v>
      </c>
      <c r="M30" s="66">
        <f>$W30+7.8%</f>
        <v>0.098</v>
      </c>
      <c r="N30" s="66">
        <f>$W30+17.5%</f>
        <v>0.19499999999999998</v>
      </c>
      <c r="O30" s="66">
        <f>$W30+6.6%</f>
        <v>0.08600000000000001</v>
      </c>
      <c r="P30" s="66"/>
      <c r="Q30" s="66"/>
      <c r="R30" s="66"/>
      <c r="S30" s="66"/>
      <c r="T30" s="66"/>
      <c r="U30" s="77"/>
      <c r="V30" s="77"/>
      <c r="W30" s="181">
        <v>0.02</v>
      </c>
    </row>
    <row r="31" spans="1:23" s="7" customFormat="1" ht="12.75">
      <c r="A31" s="85" t="s">
        <v>1992</v>
      </c>
      <c r="B31" s="86" t="s">
        <v>1993</v>
      </c>
      <c r="C31" s="87" t="str">
        <f t="shared" si="0"/>
        <v>12 lat/a od dnia zakupu</v>
      </c>
      <c r="D31" s="87">
        <v>43497</v>
      </c>
      <c r="E31" s="87">
        <v>43524</v>
      </c>
      <c r="F31" s="88">
        <v>100</v>
      </c>
      <c r="G31" s="197" t="s">
        <v>8</v>
      </c>
      <c r="H31" s="178">
        <v>1.4178</v>
      </c>
      <c r="I31" s="192" t="s">
        <v>8</v>
      </c>
      <c r="J31" s="63">
        <v>0.032</v>
      </c>
      <c r="K31" s="63">
        <f>$W31+3.4%</f>
        <v>0.054000000000000006</v>
      </c>
      <c r="L31" s="63">
        <f>$W31+2.4%</f>
        <v>0.044</v>
      </c>
      <c r="M31" s="63">
        <f>$W31+8.6%</f>
        <v>0.106</v>
      </c>
      <c r="N31" s="63">
        <f>$W31+16.6%</f>
        <v>0.186</v>
      </c>
      <c r="O31" s="63">
        <f>$W31+6.2%</f>
        <v>0.082</v>
      </c>
      <c r="P31" s="63"/>
      <c r="Q31" s="63"/>
      <c r="R31" s="63"/>
      <c r="S31" s="63"/>
      <c r="T31" s="63"/>
      <c r="U31" s="77"/>
      <c r="V31" s="77"/>
      <c r="W31" s="181">
        <v>0.02</v>
      </c>
    </row>
    <row r="32" spans="1:23" s="7" customFormat="1" ht="12.75">
      <c r="A32" s="85" t="s">
        <v>2007</v>
      </c>
      <c r="B32" s="86" t="s">
        <v>2008</v>
      </c>
      <c r="C32" s="87" t="s">
        <v>2027</v>
      </c>
      <c r="D32" s="87">
        <v>43525</v>
      </c>
      <c r="E32" s="87">
        <v>43555</v>
      </c>
      <c r="F32" s="88">
        <v>100</v>
      </c>
      <c r="G32" s="197" t="s">
        <v>8</v>
      </c>
      <c r="H32" s="178">
        <v>1.6791</v>
      </c>
      <c r="I32" s="192" t="s">
        <v>8</v>
      </c>
      <c r="J32" s="63">
        <v>0.032</v>
      </c>
      <c r="K32" s="63">
        <f>$W32+4.4%</f>
        <v>0.064</v>
      </c>
      <c r="L32" s="63">
        <f>$W32+2.7%</f>
        <v>0.047</v>
      </c>
      <c r="M32" s="63">
        <f>$W32+9.2%</f>
        <v>0.112</v>
      </c>
      <c r="N32" s="63">
        <f>$W32+17.2%</f>
        <v>0.19199999999999998</v>
      </c>
      <c r="O32" s="63">
        <f>$W32+3.9%</f>
        <v>0.059</v>
      </c>
      <c r="P32" s="63"/>
      <c r="Q32" s="63"/>
      <c r="R32" s="63"/>
      <c r="S32" s="63"/>
      <c r="T32" s="63"/>
      <c r="U32" s="77"/>
      <c r="V32" s="77"/>
      <c r="W32" s="181">
        <v>0.02</v>
      </c>
    </row>
    <row r="33" spans="1:23" s="7" customFormat="1" ht="12.75">
      <c r="A33" s="85" t="s">
        <v>2028</v>
      </c>
      <c r="B33" s="86" t="s">
        <v>2029</v>
      </c>
      <c r="C33" s="87" t="str">
        <f t="shared" si="0"/>
        <v>12 lat/a od dnia zakupu</v>
      </c>
      <c r="D33" s="87">
        <v>43556</v>
      </c>
      <c r="E33" s="87">
        <v>43585</v>
      </c>
      <c r="F33" s="88">
        <v>100</v>
      </c>
      <c r="G33" s="197" t="s">
        <v>8</v>
      </c>
      <c r="H33" s="178">
        <v>1.5978</v>
      </c>
      <c r="I33" s="192" t="s">
        <v>8</v>
      </c>
      <c r="J33" s="63">
        <v>0.032</v>
      </c>
      <c r="K33" s="63">
        <f>$W33+4.7%</f>
        <v>0.067</v>
      </c>
      <c r="L33" s="63">
        <f>$W33+2.4%</f>
        <v>0.044</v>
      </c>
      <c r="M33" s="63">
        <f>$W33+8.5%</f>
        <v>0.10500000000000001</v>
      </c>
      <c r="N33" s="63">
        <f>$W33+18.4%</f>
        <v>0.204</v>
      </c>
      <c r="O33" s="63">
        <f>$W33+2.8%</f>
        <v>0.048</v>
      </c>
      <c r="P33" s="63"/>
      <c r="Q33" s="63"/>
      <c r="R33" s="63"/>
      <c r="S33" s="63"/>
      <c r="T33" s="63"/>
      <c r="U33" s="77"/>
      <c r="V33" s="77"/>
      <c r="W33" s="181">
        <v>0.02</v>
      </c>
    </row>
    <row r="34" spans="1:23" s="7" customFormat="1" ht="12.75">
      <c r="A34" s="85" t="s">
        <v>2042</v>
      </c>
      <c r="B34" s="86" t="s">
        <v>2043</v>
      </c>
      <c r="C34" s="87" t="str">
        <f t="shared" si="0"/>
        <v>12 lat/a od dnia zakupu</v>
      </c>
      <c r="D34" s="87">
        <v>43586</v>
      </c>
      <c r="E34" s="87">
        <v>43616</v>
      </c>
      <c r="F34" s="88">
        <v>100</v>
      </c>
      <c r="G34" s="197" t="s">
        <v>8</v>
      </c>
      <c r="H34" s="178">
        <v>1.8318</v>
      </c>
      <c r="I34" s="192" t="s">
        <v>8</v>
      </c>
      <c r="J34" s="63">
        <v>0.032</v>
      </c>
      <c r="K34" s="63">
        <f>$W34+4.6%</f>
        <v>0.066</v>
      </c>
      <c r="L34" s="63">
        <f>$W34+3.2%</f>
        <v>0.052000000000000005</v>
      </c>
      <c r="M34" s="63">
        <f>$W34+11%</f>
        <v>0.13</v>
      </c>
      <c r="N34" s="63">
        <f>$W34+16.1%</f>
        <v>0.181</v>
      </c>
      <c r="O34" s="63"/>
      <c r="P34" s="63"/>
      <c r="Q34" s="63"/>
      <c r="R34" s="63"/>
      <c r="S34" s="63"/>
      <c r="T34" s="63"/>
      <c r="U34" s="77"/>
      <c r="V34" s="77"/>
      <c r="W34" s="181">
        <v>0.02</v>
      </c>
    </row>
    <row r="35" spans="1:23" s="7" customFormat="1" ht="12.75">
      <c r="A35" s="85" t="s">
        <v>2057</v>
      </c>
      <c r="B35" s="86" t="s">
        <v>2058</v>
      </c>
      <c r="C35" s="87" t="str">
        <f t="shared" si="0"/>
        <v>12 lat/a od dnia zakupu</v>
      </c>
      <c r="D35" s="87">
        <v>43617</v>
      </c>
      <c r="E35" s="87">
        <v>43646</v>
      </c>
      <c r="F35" s="88">
        <v>100</v>
      </c>
      <c r="G35" s="197" t="s">
        <v>8</v>
      </c>
      <c r="H35" s="178">
        <v>1.6261</v>
      </c>
      <c r="I35" s="192" t="s">
        <v>8</v>
      </c>
      <c r="J35" s="63">
        <v>0.032</v>
      </c>
      <c r="K35" s="63">
        <f>$W35+3.4%</f>
        <v>0.054000000000000006</v>
      </c>
      <c r="L35" s="63">
        <f>$W35+4.3%</f>
        <v>0.063</v>
      </c>
      <c r="M35" s="63">
        <f>$W35+12.4%</f>
        <v>0.144</v>
      </c>
      <c r="N35" s="63">
        <f>$W35+14.7%</f>
        <v>0.16699999999999998</v>
      </c>
      <c r="O35" s="63"/>
      <c r="P35" s="63"/>
      <c r="Q35" s="63"/>
      <c r="R35" s="63"/>
      <c r="S35" s="63"/>
      <c r="T35" s="63"/>
      <c r="U35" s="77"/>
      <c r="V35" s="77"/>
      <c r="W35" s="181">
        <v>0.02</v>
      </c>
    </row>
    <row r="36" spans="1:23" s="7" customFormat="1" ht="12.75">
      <c r="A36" s="85" t="s">
        <v>2072</v>
      </c>
      <c r="B36" s="86" t="s">
        <v>2073</v>
      </c>
      <c r="C36" s="87" t="str">
        <f t="shared" si="0"/>
        <v>12 lat/a od dnia zakupu</v>
      </c>
      <c r="D36" s="87">
        <v>43647</v>
      </c>
      <c r="E36" s="87">
        <v>43677</v>
      </c>
      <c r="F36" s="88">
        <v>100</v>
      </c>
      <c r="G36" s="197" t="s">
        <v>8</v>
      </c>
      <c r="H36" s="178">
        <v>3.3081</v>
      </c>
      <c r="I36" s="192" t="s">
        <v>8</v>
      </c>
      <c r="J36" s="63">
        <v>0.032</v>
      </c>
      <c r="K36" s="63">
        <f>$W36+2.9%</f>
        <v>0.049</v>
      </c>
      <c r="L36" s="63">
        <f>$W36+4.7%</f>
        <v>0.067</v>
      </c>
      <c r="M36" s="63">
        <f>$W36+13.9%</f>
        <v>0.159</v>
      </c>
      <c r="N36" s="63">
        <f>$W36+13%</f>
        <v>0.15</v>
      </c>
      <c r="O36" s="63"/>
      <c r="P36" s="63"/>
      <c r="Q36" s="63"/>
      <c r="R36" s="63"/>
      <c r="S36" s="63"/>
      <c r="T36" s="63"/>
      <c r="U36" s="77"/>
      <c r="V36" s="77"/>
      <c r="W36" s="181">
        <v>0.02</v>
      </c>
    </row>
    <row r="37" spans="1:23" s="7" customFormat="1" ht="12.75">
      <c r="A37" s="85" t="s">
        <v>2086</v>
      </c>
      <c r="B37" s="86" t="s">
        <v>2087</v>
      </c>
      <c r="C37" s="87" t="str">
        <f t="shared" si="0"/>
        <v>12 lat/a od dnia zakupu</v>
      </c>
      <c r="D37" s="87">
        <v>43678</v>
      </c>
      <c r="E37" s="87">
        <v>43708</v>
      </c>
      <c r="F37" s="88">
        <v>100</v>
      </c>
      <c r="G37" s="197" t="s">
        <v>8</v>
      </c>
      <c r="H37" s="178">
        <v>6.0446</v>
      </c>
      <c r="I37" s="192" t="s">
        <v>8</v>
      </c>
      <c r="J37" s="63">
        <v>0.032</v>
      </c>
      <c r="K37" s="63">
        <f>$W37+3.3%</f>
        <v>0.053000000000000005</v>
      </c>
      <c r="L37" s="63">
        <f>$W37+4.4%</f>
        <v>0.064</v>
      </c>
      <c r="M37" s="63">
        <f>$W37+15.5%</f>
        <v>0.175</v>
      </c>
      <c r="N37" s="63">
        <f>$W37+11.5%</f>
        <v>0.135</v>
      </c>
      <c r="O37" s="63"/>
      <c r="P37" s="63"/>
      <c r="Q37" s="63"/>
      <c r="R37" s="63"/>
      <c r="S37" s="63"/>
      <c r="T37" s="63"/>
      <c r="U37" s="77"/>
      <c r="V37" s="77"/>
      <c r="W37" s="181">
        <v>0.02</v>
      </c>
    </row>
    <row r="38" spans="1:23" s="7" customFormat="1" ht="12.75">
      <c r="A38" s="85" t="s">
        <v>2100</v>
      </c>
      <c r="B38" s="86" t="s">
        <v>2101</v>
      </c>
      <c r="C38" s="87" t="str">
        <f t="shared" si="0"/>
        <v>12 lat/a od dnia zakupu</v>
      </c>
      <c r="D38" s="87">
        <v>43709</v>
      </c>
      <c r="E38" s="87">
        <v>43738</v>
      </c>
      <c r="F38" s="88">
        <v>100</v>
      </c>
      <c r="G38" s="197" t="s">
        <v>8</v>
      </c>
      <c r="H38" s="178">
        <v>6.5345</v>
      </c>
      <c r="I38" s="192" t="s">
        <v>8</v>
      </c>
      <c r="J38" s="63">
        <v>0.032</v>
      </c>
      <c r="K38" s="63">
        <f>$W38+3%</f>
        <v>0.05</v>
      </c>
      <c r="L38" s="63">
        <f>$W38+5%</f>
        <v>0.07</v>
      </c>
      <c r="M38" s="63">
        <f>$W38+15.6%</f>
        <v>0.176</v>
      </c>
      <c r="N38" s="63">
        <f>$W38+10.8%</f>
        <v>0.128</v>
      </c>
      <c r="O38" s="63"/>
      <c r="P38" s="63"/>
      <c r="Q38" s="63"/>
      <c r="R38" s="63"/>
      <c r="S38" s="63"/>
      <c r="T38" s="63"/>
      <c r="U38" s="77"/>
      <c r="V38" s="77"/>
      <c r="W38" s="181">
        <v>0.02</v>
      </c>
    </row>
    <row r="39" spans="1:23" s="7" customFormat="1" ht="12.75">
      <c r="A39" s="85" t="s">
        <v>2114</v>
      </c>
      <c r="B39" s="86" t="s">
        <v>2115</v>
      </c>
      <c r="C39" s="87" t="str">
        <f t="shared" si="0"/>
        <v>12 lat/a od dnia zakupu</v>
      </c>
      <c r="D39" s="87">
        <v>43739</v>
      </c>
      <c r="E39" s="87">
        <v>43769</v>
      </c>
      <c r="F39" s="88">
        <v>100</v>
      </c>
      <c r="G39" s="197" t="s">
        <v>8</v>
      </c>
      <c r="H39" s="178">
        <v>6.3769</v>
      </c>
      <c r="I39" s="192" t="s">
        <v>8</v>
      </c>
      <c r="J39" s="63">
        <v>0.032</v>
      </c>
      <c r="K39" s="63">
        <f>$W39+2.9%</f>
        <v>0.049</v>
      </c>
      <c r="L39" s="63">
        <f>$W39+5.5%</f>
        <v>0.075</v>
      </c>
      <c r="M39" s="63">
        <f>$W39+16.1%</f>
        <v>0.181</v>
      </c>
      <c r="N39" s="63">
        <f>$W39+10.1%</f>
        <v>0.121</v>
      </c>
      <c r="O39" s="63"/>
      <c r="P39" s="63"/>
      <c r="Q39" s="63"/>
      <c r="R39" s="63"/>
      <c r="S39" s="63"/>
      <c r="T39" s="63"/>
      <c r="U39" s="77"/>
      <c r="V39" s="77"/>
      <c r="W39" s="181">
        <v>0.02</v>
      </c>
    </row>
    <row r="40" spans="1:23" s="7" customFormat="1" ht="12.75">
      <c r="A40" s="85" t="s">
        <v>2128</v>
      </c>
      <c r="B40" s="86" t="s">
        <v>2129</v>
      </c>
      <c r="C40" s="87" t="str">
        <f t="shared" si="0"/>
        <v>12 lat/a od dnia zakupu</v>
      </c>
      <c r="D40" s="87">
        <v>43770</v>
      </c>
      <c r="E40" s="87">
        <v>43799</v>
      </c>
      <c r="F40" s="88">
        <v>100</v>
      </c>
      <c r="G40" s="197" t="s">
        <v>8</v>
      </c>
      <c r="H40" s="178">
        <v>7.323</v>
      </c>
      <c r="I40" s="192" t="s">
        <v>8</v>
      </c>
      <c r="J40" s="63">
        <v>0.032</v>
      </c>
      <c r="K40" s="63">
        <f>$W40+3.2%</f>
        <v>0.052000000000000005</v>
      </c>
      <c r="L40" s="63">
        <f>$W40+5.9%</f>
        <v>0.079</v>
      </c>
      <c r="M40" s="63">
        <f>$W40+17.2%</f>
        <v>0.19199999999999998</v>
      </c>
      <c r="N40" s="63">
        <f>$W40+8.2%</f>
        <v>0.102</v>
      </c>
      <c r="O40" s="63"/>
      <c r="P40" s="63"/>
      <c r="Q40" s="63"/>
      <c r="R40" s="63"/>
      <c r="S40" s="63"/>
      <c r="T40" s="63"/>
      <c r="U40" s="77"/>
      <c r="V40" s="77"/>
      <c r="W40" s="181">
        <v>0.02</v>
      </c>
    </row>
    <row r="41" spans="1:23" ht="12.75">
      <c r="A41" s="90" t="s">
        <v>2142</v>
      </c>
      <c r="B41" s="91" t="s">
        <v>2143</v>
      </c>
      <c r="C41" s="92" t="str">
        <f t="shared" si="0"/>
        <v>12 lat/a od dnia zakupu</v>
      </c>
      <c r="D41" s="92">
        <v>43800</v>
      </c>
      <c r="E41" s="92">
        <v>43830</v>
      </c>
      <c r="F41" s="93">
        <v>100</v>
      </c>
      <c r="G41" s="194" t="s">
        <v>8</v>
      </c>
      <c r="H41" s="183">
        <v>9.0487</v>
      </c>
      <c r="I41" s="196" t="s">
        <v>8</v>
      </c>
      <c r="J41" s="65">
        <v>0.032</v>
      </c>
      <c r="K41" s="65">
        <f>$W41+3.1%</f>
        <v>0.051000000000000004</v>
      </c>
      <c r="L41" s="63">
        <f>$W41+6.8%</f>
        <v>0.08800000000000001</v>
      </c>
      <c r="M41" s="63">
        <f>$W41+17.9%</f>
        <v>0.19899999999999998</v>
      </c>
      <c r="N41" s="65">
        <f>$W41+6.6%</f>
        <v>0.08600000000000001</v>
      </c>
      <c r="O41" s="65"/>
      <c r="P41" s="65"/>
      <c r="Q41" s="65"/>
      <c r="R41" s="65"/>
      <c r="S41" s="65"/>
      <c r="T41" s="65"/>
      <c r="U41" s="78"/>
      <c r="V41" s="78"/>
      <c r="W41" s="184">
        <v>0.02</v>
      </c>
    </row>
    <row r="42" spans="1:23" s="7" customFormat="1" ht="12.75">
      <c r="A42" s="85" t="s">
        <v>2156</v>
      </c>
      <c r="B42" s="86" t="s">
        <v>2157</v>
      </c>
      <c r="C42" s="87" t="str">
        <f t="shared" si="0"/>
        <v>12 lat/a od dnia zakupu</v>
      </c>
      <c r="D42" s="87">
        <v>43831</v>
      </c>
      <c r="E42" s="87">
        <v>43861</v>
      </c>
      <c r="F42" s="88">
        <v>100</v>
      </c>
      <c r="G42" s="197" t="s">
        <v>8</v>
      </c>
      <c r="H42" s="178">
        <v>9.7245</v>
      </c>
      <c r="I42" s="192" t="s">
        <v>8</v>
      </c>
      <c r="J42" s="63">
        <v>0.032</v>
      </c>
      <c r="K42" s="66">
        <f>$W42+3%</f>
        <v>0.05</v>
      </c>
      <c r="L42" s="66">
        <f>$W42+7.8%</f>
        <v>0.098</v>
      </c>
      <c r="M42" s="66">
        <f>$W42+17.5%</f>
        <v>0.19499999999999998</v>
      </c>
      <c r="N42" s="66">
        <f>$W42+6.6%</f>
        <v>0.08600000000000001</v>
      </c>
      <c r="O42" s="66"/>
      <c r="P42" s="66"/>
      <c r="Q42" s="66"/>
      <c r="R42" s="66"/>
      <c r="S42" s="66"/>
      <c r="T42" s="66"/>
      <c r="U42" s="77"/>
      <c r="V42" s="77"/>
      <c r="W42" s="181">
        <v>0.02</v>
      </c>
    </row>
    <row r="43" spans="1:23" s="7" customFormat="1" ht="12.75">
      <c r="A43" s="85" t="s">
        <v>2170</v>
      </c>
      <c r="B43" s="86" t="s">
        <v>2171</v>
      </c>
      <c r="C43" s="87" t="str">
        <f t="shared" si="0"/>
        <v>12 lat/a od dnia zakupu</v>
      </c>
      <c r="D43" s="87">
        <v>43862</v>
      </c>
      <c r="E43" s="87">
        <v>43889</v>
      </c>
      <c r="F43" s="88">
        <v>100</v>
      </c>
      <c r="G43" s="197" t="s">
        <v>8</v>
      </c>
      <c r="H43" s="178">
        <v>8.9585</v>
      </c>
      <c r="I43" s="192" t="s">
        <v>8</v>
      </c>
      <c r="J43" s="63">
        <v>0.032</v>
      </c>
      <c r="K43" s="63">
        <f>$W43+2.4%</f>
        <v>0.044</v>
      </c>
      <c r="L43" s="63">
        <f>$W43+8.6%</f>
        <v>0.106</v>
      </c>
      <c r="M43" s="63">
        <f>$W43+16.6%</f>
        <v>0.186</v>
      </c>
      <c r="N43" s="63">
        <f>$W43+6.2%</f>
        <v>0.082</v>
      </c>
      <c r="O43" s="63"/>
      <c r="P43" s="63"/>
      <c r="Q43" s="63"/>
      <c r="R43" s="63"/>
      <c r="S43" s="63"/>
      <c r="T43" s="63"/>
      <c r="U43" s="77"/>
      <c r="V43" s="77"/>
      <c r="W43" s="181">
        <v>0.02</v>
      </c>
    </row>
    <row r="44" spans="1:23" s="7" customFormat="1" ht="12.75">
      <c r="A44" s="85" t="s">
        <v>2178</v>
      </c>
      <c r="B44" s="86" t="s">
        <v>2185</v>
      </c>
      <c r="C44" s="87" t="str">
        <f t="shared" si="0"/>
        <v>12 lat/a od dnia zakupu</v>
      </c>
      <c r="D44" s="87">
        <v>43891</v>
      </c>
      <c r="E44" s="87">
        <v>43921</v>
      </c>
      <c r="F44" s="88">
        <v>100</v>
      </c>
      <c r="G44" s="197" t="s">
        <v>8</v>
      </c>
      <c r="H44" s="178">
        <v>9.164</v>
      </c>
      <c r="I44" s="192" t="s">
        <v>8</v>
      </c>
      <c r="J44" s="63">
        <v>0.032</v>
      </c>
      <c r="K44" s="63">
        <f>$W44+2.7%</f>
        <v>0.047</v>
      </c>
      <c r="L44" s="63">
        <f>$W44+9.2%</f>
        <v>0.112</v>
      </c>
      <c r="M44" s="63">
        <f>$W44+17.2%</f>
        <v>0.19199999999999998</v>
      </c>
      <c r="N44" s="63">
        <f>$W44+3.9%</f>
        <v>0.059</v>
      </c>
      <c r="O44" s="63"/>
      <c r="P44" s="63"/>
      <c r="Q44" s="63"/>
      <c r="R44" s="63"/>
      <c r="S44" s="63"/>
      <c r="T44" s="63"/>
      <c r="U44" s="77"/>
      <c r="V44" s="77"/>
      <c r="W44" s="181">
        <v>0.02</v>
      </c>
    </row>
    <row r="45" spans="1:23" s="7" customFormat="1" ht="12.75">
      <c r="A45" s="85" t="s">
        <v>2198</v>
      </c>
      <c r="B45" s="86" t="s">
        <v>2199</v>
      </c>
      <c r="C45" s="87" t="str">
        <f t="shared" si="0"/>
        <v>12 lat/a od dnia zakupu</v>
      </c>
      <c r="D45" s="87">
        <v>43922</v>
      </c>
      <c r="E45" s="87">
        <v>43951</v>
      </c>
      <c r="F45" s="88">
        <v>100</v>
      </c>
      <c r="G45" s="197" t="s">
        <v>8</v>
      </c>
      <c r="H45" s="178">
        <v>22.7919</v>
      </c>
      <c r="I45" s="192" t="s">
        <v>8</v>
      </c>
      <c r="J45" s="63">
        <v>0.032</v>
      </c>
      <c r="K45" s="63">
        <f>$W45+2.4%</f>
        <v>0.044</v>
      </c>
      <c r="L45" s="63">
        <f>$W45+8.5%</f>
        <v>0.10500000000000001</v>
      </c>
      <c r="M45" s="63">
        <f>$W45+18.4%</f>
        <v>0.204</v>
      </c>
      <c r="N45" s="63">
        <f>$W45+2.8%</f>
        <v>0.048</v>
      </c>
      <c r="O45" s="63"/>
      <c r="P45" s="63"/>
      <c r="Q45" s="63"/>
      <c r="R45" s="63"/>
      <c r="S45" s="63"/>
      <c r="T45" s="63"/>
      <c r="U45" s="77"/>
      <c r="V45" s="77"/>
      <c r="W45" s="181">
        <v>0.02</v>
      </c>
    </row>
    <row r="46" spans="1:23" s="7" customFormat="1" ht="12.75">
      <c r="A46" s="85" t="s">
        <v>2212</v>
      </c>
      <c r="B46" s="86" t="s">
        <v>2213</v>
      </c>
      <c r="C46" s="87" t="str">
        <f t="shared" si="0"/>
        <v>12 lat/a od dnia zakupu</v>
      </c>
      <c r="D46" s="87">
        <v>43952</v>
      </c>
      <c r="E46" s="87">
        <v>43982</v>
      </c>
      <c r="F46" s="88">
        <v>100</v>
      </c>
      <c r="G46" s="197" t="s">
        <v>8</v>
      </c>
      <c r="H46" s="178">
        <v>4.4544</v>
      </c>
      <c r="I46" s="192" t="s">
        <v>8</v>
      </c>
      <c r="J46" s="63">
        <v>0.02</v>
      </c>
      <c r="K46" s="63">
        <f>$W46+3.2%</f>
        <v>0.047</v>
      </c>
      <c r="L46" s="63">
        <f>$W46+11%</f>
        <v>0.125</v>
      </c>
      <c r="M46" s="63">
        <f>$W46+16.1%</f>
        <v>0.176</v>
      </c>
      <c r="N46" s="63"/>
      <c r="O46" s="63"/>
      <c r="P46" s="63"/>
      <c r="Q46" s="63"/>
      <c r="R46" s="63"/>
      <c r="S46" s="63"/>
      <c r="T46" s="63"/>
      <c r="U46" s="77"/>
      <c r="V46" s="77"/>
      <c r="W46" s="181">
        <v>0.015</v>
      </c>
    </row>
    <row r="47" spans="1:23" s="7" customFormat="1" ht="12.75">
      <c r="A47" s="85" t="s">
        <v>2226</v>
      </c>
      <c r="B47" s="86" t="s">
        <v>2227</v>
      </c>
      <c r="C47" s="87" t="str">
        <f t="shared" si="0"/>
        <v>12 lat/a od dnia zakupu</v>
      </c>
      <c r="D47" s="87">
        <v>43983</v>
      </c>
      <c r="E47" s="87">
        <v>44012</v>
      </c>
      <c r="F47" s="88">
        <v>100</v>
      </c>
      <c r="G47" s="197" t="s">
        <v>8</v>
      </c>
      <c r="H47" s="178">
        <v>4.5364</v>
      </c>
      <c r="I47" s="192" t="s">
        <v>8</v>
      </c>
      <c r="J47" s="63">
        <v>0.02</v>
      </c>
      <c r="K47" s="63">
        <f>$W47+4.3%</f>
        <v>0.057999999999999996</v>
      </c>
      <c r="L47" s="63">
        <f>$W47+12.4%</f>
        <v>0.139</v>
      </c>
      <c r="M47" s="63">
        <f>$W47+14.7%</f>
        <v>0.16199999999999998</v>
      </c>
      <c r="N47" s="63"/>
      <c r="O47" s="63"/>
      <c r="P47" s="63"/>
      <c r="Q47" s="63"/>
      <c r="R47" s="63"/>
      <c r="S47" s="63"/>
      <c r="T47" s="63"/>
      <c r="U47" s="77"/>
      <c r="V47" s="77"/>
      <c r="W47" s="181">
        <v>0.015</v>
      </c>
    </row>
    <row r="48" spans="1:23" s="7" customFormat="1" ht="12.75">
      <c r="A48" s="85" t="s">
        <v>2240</v>
      </c>
      <c r="B48" s="86" t="s">
        <v>2241</v>
      </c>
      <c r="C48" s="87" t="str">
        <f t="shared" si="0"/>
        <v>12 lat/a od dnia zakupu</v>
      </c>
      <c r="D48" s="87">
        <v>44013</v>
      </c>
      <c r="E48" s="87">
        <v>44043</v>
      </c>
      <c r="F48" s="88">
        <v>100</v>
      </c>
      <c r="G48" s="197" t="s">
        <v>8</v>
      </c>
      <c r="H48" s="178">
        <v>5.9465</v>
      </c>
      <c r="I48" s="192" t="s">
        <v>8</v>
      </c>
      <c r="J48" s="63">
        <v>0.02</v>
      </c>
      <c r="K48" s="63">
        <f>$W48+4.7%</f>
        <v>0.062</v>
      </c>
      <c r="L48" s="63">
        <f>$W48+13.9%</f>
        <v>0.15400000000000003</v>
      </c>
      <c r="M48" s="63">
        <f>$W48+13%</f>
        <v>0.14500000000000002</v>
      </c>
      <c r="N48" s="63"/>
      <c r="O48" s="63"/>
      <c r="P48" s="63"/>
      <c r="Q48" s="63"/>
      <c r="R48" s="63"/>
      <c r="S48" s="63"/>
      <c r="T48" s="63"/>
      <c r="U48" s="77"/>
      <c r="V48" s="77"/>
      <c r="W48" s="181">
        <v>0.015</v>
      </c>
    </row>
    <row r="49" spans="1:23" s="7" customFormat="1" ht="12.75">
      <c r="A49" s="85" t="s">
        <v>2254</v>
      </c>
      <c r="B49" s="86" t="s">
        <v>2255</v>
      </c>
      <c r="C49" s="87" t="str">
        <f t="shared" si="0"/>
        <v>12 lat/a od dnia zakupu</v>
      </c>
      <c r="D49" s="87">
        <v>44044</v>
      </c>
      <c r="E49" s="87">
        <v>44074</v>
      </c>
      <c r="F49" s="88">
        <v>100</v>
      </c>
      <c r="G49" s="197" t="s">
        <v>8</v>
      </c>
      <c r="H49" s="178">
        <v>5.3966</v>
      </c>
      <c r="I49" s="192" t="s">
        <v>8</v>
      </c>
      <c r="J49" s="63">
        <v>0.02</v>
      </c>
      <c r="K49" s="63">
        <f>$W49+4.4%</f>
        <v>0.059000000000000004</v>
      </c>
      <c r="L49" s="63">
        <f>$W49+15.5%</f>
        <v>0.16999999999999998</v>
      </c>
      <c r="M49" s="63">
        <f>$W49+11.5%</f>
        <v>0.13</v>
      </c>
      <c r="N49" s="63"/>
      <c r="O49" s="63"/>
      <c r="P49" s="63"/>
      <c r="Q49" s="63"/>
      <c r="R49" s="63"/>
      <c r="S49" s="63"/>
      <c r="T49" s="63"/>
      <c r="U49" s="77"/>
      <c r="V49" s="77"/>
      <c r="W49" s="181">
        <v>0.015</v>
      </c>
    </row>
    <row r="50" spans="1:23" s="7" customFormat="1" ht="12.75">
      <c r="A50" s="85" t="s">
        <v>2268</v>
      </c>
      <c r="B50" s="86" t="s">
        <v>2269</v>
      </c>
      <c r="C50" s="87" t="str">
        <f t="shared" si="0"/>
        <v>12 lat/a od dnia zakupu</v>
      </c>
      <c r="D50" s="87">
        <v>44075</v>
      </c>
      <c r="E50" s="87">
        <v>44104</v>
      </c>
      <c r="F50" s="88">
        <v>100</v>
      </c>
      <c r="G50" s="197" t="s">
        <v>8</v>
      </c>
      <c r="H50" s="178">
        <v>7.604</v>
      </c>
      <c r="I50" s="192" t="s">
        <v>8</v>
      </c>
      <c r="J50" s="63">
        <v>0.02</v>
      </c>
      <c r="K50" s="63">
        <f>$W50+5%</f>
        <v>0.065</v>
      </c>
      <c r="L50" s="63">
        <f>$W50+15.6%</f>
        <v>0.17099999999999999</v>
      </c>
      <c r="M50" s="63">
        <f>$W50+10.8%</f>
        <v>0.12300000000000001</v>
      </c>
      <c r="N50" s="63"/>
      <c r="O50" s="63"/>
      <c r="P50" s="63"/>
      <c r="Q50" s="63"/>
      <c r="R50" s="63"/>
      <c r="S50" s="63"/>
      <c r="T50" s="63"/>
      <c r="U50" s="77"/>
      <c r="V50" s="77"/>
      <c r="W50" s="181">
        <v>0.015</v>
      </c>
    </row>
    <row r="51" spans="1:23" s="7" customFormat="1" ht="12.75">
      <c r="A51" s="85" t="s">
        <v>2282</v>
      </c>
      <c r="B51" s="86" t="s">
        <v>2283</v>
      </c>
      <c r="C51" s="87" t="str">
        <f t="shared" si="0"/>
        <v>12 lat/a od dnia zakupu</v>
      </c>
      <c r="D51" s="87">
        <v>44105</v>
      </c>
      <c r="E51" s="87">
        <v>44135</v>
      </c>
      <c r="F51" s="88">
        <v>100</v>
      </c>
      <c r="G51" s="197" t="s">
        <v>8</v>
      </c>
      <c r="H51" s="178">
        <v>8.8286</v>
      </c>
      <c r="I51" s="192" t="s">
        <v>8</v>
      </c>
      <c r="J51" s="63">
        <v>0.02</v>
      </c>
      <c r="K51" s="63">
        <f>$W51+5.5%</f>
        <v>0.07</v>
      </c>
      <c r="L51" s="63">
        <f>$W51+16.1%</f>
        <v>0.176</v>
      </c>
      <c r="M51" s="63">
        <f>$W51+10.1%</f>
        <v>0.11599999999999999</v>
      </c>
      <c r="N51" s="63"/>
      <c r="O51" s="63"/>
      <c r="P51" s="63"/>
      <c r="Q51" s="63"/>
      <c r="R51" s="63"/>
      <c r="S51" s="63"/>
      <c r="T51" s="63"/>
      <c r="U51" s="77"/>
      <c r="V51" s="77"/>
      <c r="W51" s="181">
        <v>0.015</v>
      </c>
    </row>
    <row r="52" spans="1:23" s="7" customFormat="1" ht="12.75">
      <c r="A52" s="85" t="s">
        <v>2296</v>
      </c>
      <c r="B52" s="86" t="s">
        <v>2297</v>
      </c>
      <c r="C52" s="87" t="str">
        <f t="shared" si="0"/>
        <v>12 lat/a od dnia zakupu</v>
      </c>
      <c r="D52" s="87">
        <v>44136</v>
      </c>
      <c r="E52" s="87">
        <v>44165</v>
      </c>
      <c r="F52" s="88">
        <v>100</v>
      </c>
      <c r="G52" s="197" t="s">
        <v>8</v>
      </c>
      <c r="H52" s="178">
        <v>8.2395</v>
      </c>
      <c r="I52" s="192" t="s">
        <v>8</v>
      </c>
      <c r="J52" s="63">
        <v>0.02</v>
      </c>
      <c r="K52" s="63">
        <f>$W52+5.9%</f>
        <v>0.07400000000000001</v>
      </c>
      <c r="L52" s="63">
        <f>$W52+17.2%</f>
        <v>0.187</v>
      </c>
      <c r="M52" s="63">
        <f>$W52+8.2%</f>
        <v>0.09699999999999999</v>
      </c>
      <c r="N52" s="63"/>
      <c r="O52" s="63"/>
      <c r="P52" s="63"/>
      <c r="Q52" s="63"/>
      <c r="R52" s="63"/>
      <c r="S52" s="63"/>
      <c r="T52" s="63"/>
      <c r="U52" s="77"/>
      <c r="V52" s="77"/>
      <c r="W52" s="181">
        <v>0.015</v>
      </c>
    </row>
    <row r="53" spans="1:23" ht="12.75">
      <c r="A53" s="90" t="s">
        <v>2310</v>
      </c>
      <c r="B53" s="91" t="s">
        <v>2311</v>
      </c>
      <c r="C53" s="92" t="str">
        <f t="shared" si="0"/>
        <v>12 lat/a od dnia zakupu</v>
      </c>
      <c r="D53" s="92">
        <v>44166</v>
      </c>
      <c r="E53" s="92">
        <v>44196</v>
      </c>
      <c r="F53" s="93">
        <v>100</v>
      </c>
      <c r="G53" s="194" t="s">
        <v>8</v>
      </c>
      <c r="H53" s="183">
        <v>11.8386</v>
      </c>
      <c r="I53" s="196" t="s">
        <v>8</v>
      </c>
      <c r="J53" s="65">
        <v>0.02</v>
      </c>
      <c r="K53" s="63">
        <f>$W53+6.8%</f>
        <v>0.083</v>
      </c>
      <c r="L53" s="63">
        <f>$W53+17.9%</f>
        <v>0.194</v>
      </c>
      <c r="M53" s="65">
        <f>$W53+6.6%</f>
        <v>0.081</v>
      </c>
      <c r="N53" s="65"/>
      <c r="O53" s="65"/>
      <c r="P53" s="65"/>
      <c r="Q53" s="65"/>
      <c r="R53" s="65"/>
      <c r="S53" s="65"/>
      <c r="T53" s="65"/>
      <c r="U53" s="78"/>
      <c r="V53" s="78"/>
      <c r="W53" s="184">
        <v>0.015</v>
      </c>
    </row>
    <row r="54" spans="1:23" ht="12.75">
      <c r="A54" s="113" t="s">
        <v>2318</v>
      </c>
      <c r="B54" s="114" t="s">
        <v>2325</v>
      </c>
      <c r="C54" s="136" t="str">
        <f t="shared" si="0"/>
        <v>12 lat/a od dnia zakupu</v>
      </c>
      <c r="D54" s="136">
        <v>44197</v>
      </c>
      <c r="E54" s="136">
        <v>44227</v>
      </c>
      <c r="F54" s="137">
        <v>100</v>
      </c>
      <c r="G54" s="203" t="s">
        <v>8</v>
      </c>
      <c r="H54" s="188">
        <v>12.2501</v>
      </c>
      <c r="I54" s="204" t="s">
        <v>8</v>
      </c>
      <c r="J54" s="66">
        <v>0.02</v>
      </c>
      <c r="K54" s="66">
        <f>$W54+7.8%</f>
        <v>0.093</v>
      </c>
      <c r="L54" s="66">
        <f>$W54+17.5%</f>
        <v>0.19</v>
      </c>
      <c r="M54" s="66">
        <f>$W54+6.6%</f>
        <v>0.081</v>
      </c>
      <c r="N54" s="66"/>
      <c r="O54" s="66"/>
      <c r="P54" s="66"/>
      <c r="Q54" s="66"/>
      <c r="R54" s="66"/>
      <c r="S54" s="66"/>
      <c r="T54" s="66"/>
      <c r="U54" s="207"/>
      <c r="V54" s="207"/>
      <c r="W54" s="179">
        <v>0.015</v>
      </c>
    </row>
    <row r="55" spans="1:23" s="7" customFormat="1" ht="12.75">
      <c r="A55" s="85" t="s">
        <v>2338</v>
      </c>
      <c r="B55" s="86" t="s">
        <v>2339</v>
      </c>
      <c r="C55" s="87" t="str">
        <f t="shared" si="0"/>
        <v>12 lat/a od dnia zakupu</v>
      </c>
      <c r="D55" s="87">
        <v>44228</v>
      </c>
      <c r="E55" s="87">
        <v>44255</v>
      </c>
      <c r="F55" s="88">
        <v>100</v>
      </c>
      <c r="G55" s="197" t="s">
        <v>8</v>
      </c>
      <c r="H55" s="178">
        <v>11.3126</v>
      </c>
      <c r="I55" s="192" t="s">
        <v>8</v>
      </c>
      <c r="J55" s="63">
        <v>0.02</v>
      </c>
      <c r="K55" s="63">
        <f>$W55+8.6%</f>
        <v>0.10099999999999999</v>
      </c>
      <c r="L55" s="63">
        <f>$W55+16.6%</f>
        <v>0.181</v>
      </c>
      <c r="M55" s="63">
        <f>$W55+6.2%</f>
        <v>0.077</v>
      </c>
      <c r="N55" s="63"/>
      <c r="O55" s="63"/>
      <c r="P55" s="63"/>
      <c r="Q55" s="63"/>
      <c r="R55" s="63"/>
      <c r="S55" s="63"/>
      <c r="T55" s="63"/>
      <c r="U55" s="77"/>
      <c r="V55" s="77"/>
      <c r="W55" s="181">
        <v>0.015</v>
      </c>
    </row>
    <row r="56" spans="1:23" s="7" customFormat="1" ht="12.75">
      <c r="A56" s="85" t="s">
        <v>2352</v>
      </c>
      <c r="B56" s="86" t="s">
        <v>2353</v>
      </c>
      <c r="C56" s="87" t="str">
        <f t="shared" si="0"/>
        <v>12 lat/a od dnia zakupu</v>
      </c>
      <c r="D56" s="87">
        <v>44256</v>
      </c>
      <c r="E56" s="87">
        <v>44286</v>
      </c>
      <c r="F56" s="88">
        <v>100</v>
      </c>
      <c r="G56" s="197" t="s">
        <v>8</v>
      </c>
      <c r="H56" s="178">
        <v>13.2003</v>
      </c>
      <c r="I56" s="192" t="s">
        <v>8</v>
      </c>
      <c r="J56" s="63">
        <v>0.02</v>
      </c>
      <c r="K56" s="63">
        <f>$W56+9.2%</f>
        <v>0.107</v>
      </c>
      <c r="L56" s="63">
        <f>$W56+17.2%</f>
        <v>0.187</v>
      </c>
      <c r="M56" s="63">
        <f>$W56+3.9%</f>
        <v>0.054</v>
      </c>
      <c r="N56" s="63"/>
      <c r="O56" s="63"/>
      <c r="P56" s="63"/>
      <c r="Q56" s="63"/>
      <c r="R56" s="63"/>
      <c r="S56" s="63"/>
      <c r="T56" s="63"/>
      <c r="U56" s="77"/>
      <c r="V56" s="77"/>
      <c r="W56" s="181">
        <v>0.015</v>
      </c>
    </row>
    <row r="57" spans="1:23" s="7" customFormat="1" ht="12.75">
      <c r="A57" s="85" t="s">
        <v>2366</v>
      </c>
      <c r="B57" s="86" t="s">
        <v>2367</v>
      </c>
      <c r="C57" s="87" t="str">
        <f t="shared" si="0"/>
        <v>12 lat/a od dnia zakupu</v>
      </c>
      <c r="D57" s="87">
        <v>44287</v>
      </c>
      <c r="E57" s="87">
        <v>44316</v>
      </c>
      <c r="F57" s="88">
        <v>100</v>
      </c>
      <c r="G57" s="197" t="s">
        <v>8</v>
      </c>
      <c r="H57" s="178">
        <v>13.6007</v>
      </c>
      <c r="I57" s="192" t="s">
        <v>8</v>
      </c>
      <c r="J57" s="63">
        <v>0.02</v>
      </c>
      <c r="K57" s="63">
        <f>$W57+8.5%</f>
        <v>0.1</v>
      </c>
      <c r="L57" s="63">
        <f>$W57+18.4%</f>
        <v>0.199</v>
      </c>
      <c r="M57" s="63">
        <f>$W57+2.8%</f>
        <v>0.043</v>
      </c>
      <c r="N57" s="63"/>
      <c r="O57" s="63"/>
      <c r="P57" s="63"/>
      <c r="Q57" s="63"/>
      <c r="R57" s="63"/>
      <c r="S57" s="63"/>
      <c r="T57" s="63"/>
      <c r="U57" s="77"/>
      <c r="V57" s="77"/>
      <c r="W57" s="181">
        <v>0.015</v>
      </c>
    </row>
    <row r="58" spans="1:23" s="7" customFormat="1" ht="12.75">
      <c r="A58" s="85" t="s">
        <v>2380</v>
      </c>
      <c r="B58" s="86" t="s">
        <v>2381</v>
      </c>
      <c r="C58" s="87" t="str">
        <f t="shared" si="0"/>
        <v>12 lat/a od dnia zakupu</v>
      </c>
      <c r="D58" s="87">
        <v>44317</v>
      </c>
      <c r="E58" s="87">
        <v>44347</v>
      </c>
      <c r="F58" s="88">
        <v>100</v>
      </c>
      <c r="G58" s="197" t="s">
        <v>8</v>
      </c>
      <c r="H58" s="178">
        <v>12.7632</v>
      </c>
      <c r="I58" s="192" t="s">
        <v>8</v>
      </c>
      <c r="J58" s="63">
        <v>0.02</v>
      </c>
      <c r="K58" s="63">
        <f>$W58+11%</f>
        <v>0.125</v>
      </c>
      <c r="L58" s="63">
        <f>$W58+16.1%</f>
        <v>0.176</v>
      </c>
      <c r="M58" s="63"/>
      <c r="N58" s="63"/>
      <c r="O58" s="63"/>
      <c r="P58" s="63"/>
      <c r="Q58" s="63"/>
      <c r="R58" s="63"/>
      <c r="S58" s="63"/>
      <c r="T58" s="63"/>
      <c r="U58" s="77"/>
      <c r="V58" s="77"/>
      <c r="W58" s="181">
        <v>0.015</v>
      </c>
    </row>
    <row r="59" spans="1:23" s="7" customFormat="1" ht="12.75">
      <c r="A59" s="85" t="s">
        <v>2394</v>
      </c>
      <c r="B59" s="86" t="s">
        <v>2395</v>
      </c>
      <c r="C59" s="87" t="str">
        <f t="shared" si="0"/>
        <v>12 lat/a od dnia zakupu</v>
      </c>
      <c r="D59" s="87">
        <v>44348</v>
      </c>
      <c r="E59" s="87">
        <v>44377</v>
      </c>
      <c r="F59" s="88">
        <v>100</v>
      </c>
      <c r="G59" s="197" t="s">
        <v>8</v>
      </c>
      <c r="H59" s="178">
        <v>10.1218</v>
      </c>
      <c r="I59" s="192" t="s">
        <v>8</v>
      </c>
      <c r="J59" s="63">
        <v>0.02</v>
      </c>
      <c r="K59" s="63">
        <f>$W59+12.4%</f>
        <v>0.139</v>
      </c>
      <c r="L59" s="63">
        <f>$W59+14.7%</f>
        <v>0.16199999999999998</v>
      </c>
      <c r="M59" s="63"/>
      <c r="N59" s="63"/>
      <c r="O59" s="63"/>
      <c r="P59" s="63"/>
      <c r="Q59" s="63"/>
      <c r="R59" s="63"/>
      <c r="S59" s="63"/>
      <c r="T59" s="63"/>
      <c r="U59" s="77"/>
      <c r="V59" s="77"/>
      <c r="W59" s="181">
        <v>0.015</v>
      </c>
    </row>
    <row r="60" spans="1:23" s="7" customFormat="1" ht="12.75">
      <c r="A60" s="85" t="s">
        <v>2408</v>
      </c>
      <c r="B60" s="86" t="s">
        <v>2409</v>
      </c>
      <c r="C60" s="87" t="str">
        <f t="shared" si="0"/>
        <v>12 lat/a od dnia zakupu</v>
      </c>
      <c r="D60" s="87">
        <v>44378</v>
      </c>
      <c r="E60" s="87">
        <v>44408</v>
      </c>
      <c r="F60" s="88">
        <v>100</v>
      </c>
      <c r="G60" s="197" t="s">
        <v>8</v>
      </c>
      <c r="H60" s="178">
        <v>8.9862</v>
      </c>
      <c r="I60" s="192" t="s">
        <v>8</v>
      </c>
      <c r="J60" s="63">
        <v>0.02</v>
      </c>
      <c r="K60" s="63">
        <f>$W60+13.9%</f>
        <v>0.15400000000000003</v>
      </c>
      <c r="L60" s="63">
        <f>$W60+13%</f>
        <v>0.14500000000000002</v>
      </c>
      <c r="M60" s="63"/>
      <c r="N60" s="63"/>
      <c r="O60" s="63"/>
      <c r="P60" s="63"/>
      <c r="Q60" s="63"/>
      <c r="R60" s="63"/>
      <c r="S60" s="63"/>
      <c r="T60" s="63"/>
      <c r="U60" s="77"/>
      <c r="V60" s="77"/>
      <c r="W60" s="181">
        <v>0.015</v>
      </c>
    </row>
    <row r="61" spans="1:23" s="7" customFormat="1" ht="12.75">
      <c r="A61" s="85" t="s">
        <v>2416</v>
      </c>
      <c r="B61" s="86" t="s">
        <v>2423</v>
      </c>
      <c r="C61" s="87" t="str">
        <f t="shared" si="0"/>
        <v>12 lat/a od dnia zakupu</v>
      </c>
      <c r="D61" s="87">
        <v>44409</v>
      </c>
      <c r="E61" s="87">
        <v>44439</v>
      </c>
      <c r="F61" s="88">
        <v>100</v>
      </c>
      <c r="G61" s="197" t="s">
        <v>8</v>
      </c>
      <c r="H61" s="178">
        <v>10.9898</v>
      </c>
      <c r="I61" s="192" t="s">
        <v>8</v>
      </c>
      <c r="J61" s="63">
        <v>0.02</v>
      </c>
      <c r="K61" s="63">
        <f>$W61+15.5%</f>
        <v>0.16999999999999998</v>
      </c>
      <c r="L61" s="63">
        <f>$W61+11.5%</f>
        <v>0.13</v>
      </c>
      <c r="M61" s="63"/>
      <c r="N61" s="63"/>
      <c r="O61" s="63"/>
      <c r="P61" s="63"/>
      <c r="Q61" s="63"/>
      <c r="R61" s="63"/>
      <c r="S61" s="63"/>
      <c r="T61" s="63"/>
      <c r="U61" s="77"/>
      <c r="V61" s="77"/>
      <c r="W61" s="181">
        <v>0.015</v>
      </c>
    </row>
    <row r="62" spans="1:23" s="7" customFormat="1" ht="12.75">
      <c r="A62" s="85" t="s">
        <v>2436</v>
      </c>
      <c r="B62" s="86" t="s">
        <v>2437</v>
      </c>
      <c r="C62" s="87" t="str">
        <f t="shared" si="0"/>
        <v>12 lat/a od dnia zakupu</v>
      </c>
      <c r="D62" s="87">
        <v>44440</v>
      </c>
      <c r="E62" s="87">
        <v>44469</v>
      </c>
      <c r="F62" s="88">
        <v>100</v>
      </c>
      <c r="G62" s="197" t="s">
        <v>8</v>
      </c>
      <c r="H62" s="178">
        <v>12.6501</v>
      </c>
      <c r="I62" s="192" t="s">
        <v>8</v>
      </c>
      <c r="J62" s="63">
        <v>0.02</v>
      </c>
      <c r="K62" s="63">
        <f>$W62+15.6%</f>
        <v>0.17099999999999999</v>
      </c>
      <c r="L62" s="63">
        <f>$W62+10.8%</f>
        <v>0.12300000000000001</v>
      </c>
      <c r="M62" s="63"/>
      <c r="N62" s="63"/>
      <c r="O62" s="63"/>
      <c r="P62" s="63"/>
      <c r="Q62" s="63"/>
      <c r="R62" s="63"/>
      <c r="S62" s="63"/>
      <c r="T62" s="63"/>
      <c r="U62" s="77"/>
      <c r="V62" s="77"/>
      <c r="W62" s="181">
        <v>0.015</v>
      </c>
    </row>
    <row r="63" spans="1:23" s="7" customFormat="1" ht="12.75">
      <c r="A63" s="85" t="s">
        <v>2450</v>
      </c>
      <c r="B63" s="86" t="s">
        <v>2451</v>
      </c>
      <c r="C63" s="87" t="str">
        <f t="shared" si="0"/>
        <v>12 lat/a od dnia zakupu</v>
      </c>
      <c r="D63" s="87">
        <v>44470</v>
      </c>
      <c r="E63" s="87">
        <v>44500</v>
      </c>
      <c r="F63" s="88">
        <v>100</v>
      </c>
      <c r="G63" s="197" t="s">
        <v>8</v>
      </c>
      <c r="H63" s="178">
        <v>13.2536</v>
      </c>
      <c r="I63" s="192" t="s">
        <v>8</v>
      </c>
      <c r="J63" s="63">
        <v>0.02</v>
      </c>
      <c r="K63" s="63">
        <f>$W63+16.1%</f>
        <v>0.176</v>
      </c>
      <c r="L63" s="63">
        <f>$W63+10.1%</f>
        <v>0.11599999999999999</v>
      </c>
      <c r="M63" s="63"/>
      <c r="N63" s="63"/>
      <c r="O63" s="63"/>
      <c r="P63" s="63"/>
      <c r="Q63" s="63"/>
      <c r="R63" s="63"/>
      <c r="S63" s="63"/>
      <c r="T63" s="63"/>
      <c r="U63" s="77"/>
      <c r="V63" s="77"/>
      <c r="W63" s="181">
        <v>0.015</v>
      </c>
    </row>
    <row r="64" spans="1:23" s="7" customFormat="1" ht="12.75">
      <c r="A64" s="85" t="s">
        <v>2458</v>
      </c>
      <c r="B64" s="86" t="s">
        <v>2465</v>
      </c>
      <c r="C64" s="87" t="str">
        <f t="shared" si="0"/>
        <v>12 lat/a od dnia zakupu</v>
      </c>
      <c r="D64" s="87">
        <v>44501</v>
      </c>
      <c r="E64" s="87">
        <v>44530</v>
      </c>
      <c r="F64" s="88">
        <v>100</v>
      </c>
      <c r="G64" s="197" t="s">
        <v>8</v>
      </c>
      <c r="H64" s="178">
        <v>14.5463</v>
      </c>
      <c r="I64" s="192" t="s">
        <v>8</v>
      </c>
      <c r="J64" s="63">
        <v>0.02</v>
      </c>
      <c r="K64" s="63">
        <f>$W64+17.2%</f>
        <v>0.187</v>
      </c>
      <c r="L64" s="63">
        <f>$W64+8.2%</f>
        <v>0.09699999999999999</v>
      </c>
      <c r="M64" s="63"/>
      <c r="N64" s="63"/>
      <c r="O64" s="63"/>
      <c r="P64" s="63"/>
      <c r="Q64" s="63"/>
      <c r="R64" s="63"/>
      <c r="S64" s="63"/>
      <c r="T64" s="63"/>
      <c r="U64" s="77"/>
      <c r="V64" s="77"/>
      <c r="W64" s="181">
        <v>0.015</v>
      </c>
    </row>
    <row r="65" spans="1:23" ht="12.75">
      <c r="A65" s="90" t="s">
        <v>2478</v>
      </c>
      <c r="B65" s="91" t="s">
        <v>2479</v>
      </c>
      <c r="C65" s="92" t="str">
        <f t="shared" si="0"/>
        <v>12 lat/a od dnia zakupu</v>
      </c>
      <c r="D65" s="92">
        <v>44531</v>
      </c>
      <c r="E65" s="92">
        <v>44561</v>
      </c>
      <c r="F65" s="93">
        <v>100</v>
      </c>
      <c r="G65" s="194" t="s">
        <v>8</v>
      </c>
      <c r="H65" s="183">
        <v>19.6054</v>
      </c>
      <c r="I65" s="196" t="s">
        <v>8</v>
      </c>
      <c r="J65" s="65">
        <v>0.02</v>
      </c>
      <c r="K65" s="63">
        <f>$W65+17.9%</f>
        <v>0.194</v>
      </c>
      <c r="L65" s="65">
        <f>$W65+6.6%</f>
        <v>0.081</v>
      </c>
      <c r="M65" s="65"/>
      <c r="N65" s="65"/>
      <c r="O65" s="65"/>
      <c r="P65" s="65"/>
      <c r="Q65" s="65"/>
      <c r="R65" s="65"/>
      <c r="S65" s="65"/>
      <c r="T65" s="65"/>
      <c r="U65" s="78"/>
      <c r="V65" s="78"/>
      <c r="W65" s="184">
        <v>0.015</v>
      </c>
    </row>
    <row r="66" spans="1:23" ht="12.75">
      <c r="A66" s="113" t="s">
        <v>2492</v>
      </c>
      <c r="B66" s="114" t="s">
        <v>2493</v>
      </c>
      <c r="C66" s="136" t="str">
        <f t="shared" si="0"/>
        <v>12 lat/a od dnia zakupu</v>
      </c>
      <c r="D66" s="136">
        <v>44562</v>
      </c>
      <c r="E66" s="136">
        <v>44592</v>
      </c>
      <c r="F66" s="137">
        <v>100</v>
      </c>
      <c r="G66" s="203" t="s">
        <v>8</v>
      </c>
      <c r="H66" s="188">
        <v>14.2434</v>
      </c>
      <c r="I66" s="204" t="s">
        <v>8</v>
      </c>
      <c r="J66" s="66">
        <v>0.02</v>
      </c>
      <c r="K66" s="66">
        <f>$W66+17.5%</f>
        <v>0.19</v>
      </c>
      <c r="L66" s="66">
        <f>$W66+6.6%</f>
        <v>0.081</v>
      </c>
      <c r="M66" s="66"/>
      <c r="N66" s="66"/>
      <c r="O66" s="66"/>
      <c r="P66" s="66"/>
      <c r="Q66" s="66"/>
      <c r="R66" s="66"/>
      <c r="S66" s="66"/>
      <c r="T66" s="66"/>
      <c r="U66" s="207"/>
      <c r="V66" s="207"/>
      <c r="W66" s="179">
        <v>0.015</v>
      </c>
    </row>
    <row r="67" spans="1:23" s="7" customFormat="1" ht="12.75">
      <c r="A67" s="85" t="s">
        <v>2506</v>
      </c>
      <c r="B67" s="86" t="s">
        <v>2507</v>
      </c>
      <c r="C67" s="87" t="str">
        <f t="shared" si="0"/>
        <v>12 lat/a od dnia zakupu</v>
      </c>
      <c r="D67" s="87">
        <v>44593</v>
      </c>
      <c r="E67" s="87">
        <v>44620</v>
      </c>
      <c r="F67" s="88">
        <v>100</v>
      </c>
      <c r="G67" s="197" t="s">
        <v>8</v>
      </c>
      <c r="H67" s="178">
        <v>19.4993</v>
      </c>
      <c r="I67" s="192" t="s">
        <v>8</v>
      </c>
      <c r="J67" s="63">
        <v>0.025</v>
      </c>
      <c r="K67" s="63">
        <f>$W67+16.6%</f>
        <v>0.1835</v>
      </c>
      <c r="L67" s="63">
        <f>$W67+6.2%</f>
        <v>0.0795</v>
      </c>
      <c r="M67" s="63"/>
      <c r="N67" s="63"/>
      <c r="O67" s="63"/>
      <c r="P67" s="63"/>
      <c r="Q67" s="63"/>
      <c r="R67" s="63"/>
      <c r="S67" s="63"/>
      <c r="T67" s="63"/>
      <c r="U67" s="77"/>
      <c r="V67" s="77"/>
      <c r="W67" s="181">
        <v>0.0175</v>
      </c>
    </row>
    <row r="68" spans="1:23" s="7" customFormat="1" ht="12.75">
      <c r="A68" s="85" t="s">
        <v>2523</v>
      </c>
      <c r="B68" s="86" t="s">
        <v>2524</v>
      </c>
      <c r="C68" s="87" t="str">
        <f t="shared" si="0"/>
        <v>12 lat/a od dnia zakupu</v>
      </c>
      <c r="D68" s="87">
        <v>44621</v>
      </c>
      <c r="E68" s="87">
        <v>44651</v>
      </c>
      <c r="F68" s="88">
        <v>100</v>
      </c>
      <c r="G68" s="197" t="s">
        <v>8</v>
      </c>
      <c r="H68" s="178">
        <v>13.6945</v>
      </c>
      <c r="I68" s="192" t="s">
        <v>8</v>
      </c>
      <c r="J68" s="63">
        <v>0.025</v>
      </c>
      <c r="K68" s="63">
        <f>$W68+17.2%</f>
        <v>0.1895</v>
      </c>
      <c r="L68" s="63">
        <f>$W68+3.9%</f>
        <v>0.0565</v>
      </c>
      <c r="M68" s="63"/>
      <c r="N68" s="63"/>
      <c r="O68" s="63"/>
      <c r="P68" s="63"/>
      <c r="Q68" s="63"/>
      <c r="R68" s="63"/>
      <c r="S68" s="63"/>
      <c r="T68" s="63"/>
      <c r="U68" s="77"/>
      <c r="V68" s="77"/>
      <c r="W68" s="181">
        <v>0.0175</v>
      </c>
    </row>
    <row r="69" spans="1:23" s="7" customFormat="1" ht="12.75">
      <c r="A69" s="85" t="s">
        <v>2537</v>
      </c>
      <c r="B69" s="86" t="s">
        <v>2538</v>
      </c>
      <c r="C69" s="87" t="str">
        <f t="shared" si="0"/>
        <v>12 lat/a od dnia zakupu</v>
      </c>
      <c r="D69" s="87">
        <v>44652</v>
      </c>
      <c r="E69" s="87">
        <v>44681</v>
      </c>
      <c r="F69" s="88">
        <v>100</v>
      </c>
      <c r="G69" s="197" t="s">
        <v>8</v>
      </c>
      <c r="H69" s="178">
        <v>15.9505</v>
      </c>
      <c r="I69" s="192" t="s">
        <v>8</v>
      </c>
      <c r="J69" s="63">
        <v>0.03</v>
      </c>
      <c r="K69" s="63">
        <f>$W69+18.4%</f>
        <v>0.2015</v>
      </c>
      <c r="L69" s="63">
        <f>$W69+2.8%</f>
        <v>0.0455</v>
      </c>
      <c r="M69" s="63"/>
      <c r="N69" s="63"/>
      <c r="O69" s="63"/>
      <c r="P69" s="63"/>
      <c r="Q69" s="63"/>
      <c r="R69" s="63"/>
      <c r="S69" s="63"/>
      <c r="T69" s="63"/>
      <c r="U69" s="77"/>
      <c r="V69" s="77"/>
      <c r="W69" s="181">
        <v>0.0175</v>
      </c>
    </row>
    <row r="70" spans="1:23" s="7" customFormat="1" ht="12.75">
      <c r="A70" s="85" t="s">
        <v>2551</v>
      </c>
      <c r="B70" s="86" t="s">
        <v>2552</v>
      </c>
      <c r="C70" s="87" t="str">
        <f t="shared" si="0"/>
        <v>12 lat/a od dnia zakupu</v>
      </c>
      <c r="D70" s="87">
        <v>44682</v>
      </c>
      <c r="E70" s="87">
        <v>44712</v>
      </c>
      <c r="F70" s="88">
        <v>100</v>
      </c>
      <c r="G70" s="197" t="s">
        <v>8</v>
      </c>
      <c r="H70" s="178">
        <v>16.218</v>
      </c>
      <c r="I70" s="192" t="s">
        <v>8</v>
      </c>
      <c r="J70" s="63">
        <v>0.04</v>
      </c>
      <c r="K70" s="63">
        <f>$W70+16.1%</f>
        <v>0.1785</v>
      </c>
      <c r="L70" s="63"/>
      <c r="M70" s="63"/>
      <c r="N70" s="63"/>
      <c r="O70" s="63"/>
      <c r="P70" s="63"/>
      <c r="Q70" s="63"/>
      <c r="R70" s="63"/>
      <c r="S70" s="63"/>
      <c r="T70" s="63"/>
      <c r="U70" s="77"/>
      <c r="V70" s="77"/>
      <c r="W70" s="181">
        <v>0.0175</v>
      </c>
    </row>
    <row r="71" spans="1:23" s="7" customFormat="1" ht="12.75">
      <c r="A71" s="85" t="s">
        <v>2629</v>
      </c>
      <c r="B71" s="86" t="s">
        <v>2628</v>
      </c>
      <c r="C71" s="87" t="str">
        <f t="shared" si="0"/>
        <v>12 lat/a od dnia zakupu</v>
      </c>
      <c r="D71" s="87">
        <v>44713</v>
      </c>
      <c r="E71" s="87">
        <v>44742</v>
      </c>
      <c r="F71" s="88">
        <v>100</v>
      </c>
      <c r="G71" s="197" t="s">
        <v>8</v>
      </c>
      <c r="H71" s="178">
        <v>31.3044</v>
      </c>
      <c r="I71" s="192" t="s">
        <v>8</v>
      </c>
      <c r="J71" s="63">
        <v>0.06</v>
      </c>
      <c r="K71" s="63">
        <f>$W71+14.7%</f>
        <v>0.16449999999999998</v>
      </c>
      <c r="L71" s="63"/>
      <c r="M71" s="63"/>
      <c r="N71" s="63"/>
      <c r="O71" s="63"/>
      <c r="P71" s="63"/>
      <c r="Q71" s="63"/>
      <c r="R71" s="63"/>
      <c r="S71" s="63"/>
      <c r="T71" s="63"/>
      <c r="U71" s="77"/>
      <c r="V71" s="77"/>
      <c r="W71" s="181">
        <v>0.0175</v>
      </c>
    </row>
    <row r="72" spans="1:23" ht="12.75">
      <c r="A72" s="85" t="s">
        <v>2644</v>
      </c>
      <c r="B72" s="86" t="s">
        <v>2645</v>
      </c>
      <c r="C72" s="87" t="str">
        <f t="shared" si="0"/>
        <v>12 lat/a od dnia zakupu</v>
      </c>
      <c r="D72" s="87">
        <v>44743</v>
      </c>
      <c r="E72" s="87">
        <v>44773</v>
      </c>
      <c r="F72" s="88">
        <v>100</v>
      </c>
      <c r="G72" s="197" t="s">
        <v>8</v>
      </c>
      <c r="H72" s="178">
        <v>27.6896</v>
      </c>
      <c r="I72" s="192" t="s">
        <v>8</v>
      </c>
      <c r="J72" s="63">
        <v>0.065</v>
      </c>
      <c r="K72" s="63">
        <f>$W72+13%</f>
        <v>0.14750000000000002</v>
      </c>
      <c r="L72" s="63"/>
      <c r="M72" s="63"/>
      <c r="N72" s="63"/>
      <c r="O72" s="63"/>
      <c r="P72" s="63"/>
      <c r="Q72" s="63"/>
      <c r="R72" s="63"/>
      <c r="S72" s="63"/>
      <c r="T72" s="63"/>
      <c r="U72" s="77"/>
      <c r="V72" s="77"/>
      <c r="W72" s="181">
        <v>0.0175</v>
      </c>
    </row>
    <row r="73" spans="1:23" ht="12.75">
      <c r="A73" s="85" t="s">
        <v>2871</v>
      </c>
      <c r="B73" s="86" t="s">
        <v>2872</v>
      </c>
      <c r="C73" s="87" t="str">
        <f t="shared" si="0"/>
        <v>12 lat/a od dnia zakupu</v>
      </c>
      <c r="D73" s="87">
        <v>44774</v>
      </c>
      <c r="E73" s="87">
        <v>44804</v>
      </c>
      <c r="F73" s="88">
        <v>100</v>
      </c>
      <c r="G73" s="197" t="s">
        <v>8</v>
      </c>
      <c r="H73" s="178">
        <v>27.7017</v>
      </c>
      <c r="I73" s="192" t="s">
        <v>8</v>
      </c>
      <c r="J73" s="63">
        <v>0.07</v>
      </c>
      <c r="K73" s="63">
        <f>$W73+11.5%</f>
        <v>0.1325</v>
      </c>
      <c r="L73" s="63"/>
      <c r="M73" s="63"/>
      <c r="N73" s="63"/>
      <c r="O73" s="63"/>
      <c r="P73" s="63"/>
      <c r="Q73" s="63"/>
      <c r="R73" s="63"/>
      <c r="S73" s="63"/>
      <c r="T73" s="63"/>
      <c r="U73" s="77"/>
      <c r="V73" s="77"/>
      <c r="W73" s="181">
        <v>0.0175</v>
      </c>
    </row>
    <row r="74" spans="1:23" ht="12.75">
      <c r="A74" s="85" t="s">
        <v>2873</v>
      </c>
      <c r="B74" s="86" t="s">
        <v>2874</v>
      </c>
      <c r="C74" s="87" t="str">
        <f t="shared" si="0"/>
        <v>12 lat/a od dnia zakupu</v>
      </c>
      <c r="D74" s="87">
        <v>44805</v>
      </c>
      <c r="E74" s="87">
        <v>44834</v>
      </c>
      <c r="F74" s="88">
        <v>100</v>
      </c>
      <c r="G74" s="197" t="s">
        <v>8</v>
      </c>
      <c r="H74" s="178">
        <v>17.4696</v>
      </c>
      <c r="I74" s="192" t="s">
        <v>8</v>
      </c>
      <c r="J74" s="63">
        <v>0.07</v>
      </c>
      <c r="K74" s="63">
        <f>$W74+10.8%</f>
        <v>0.1255</v>
      </c>
      <c r="L74" s="63"/>
      <c r="M74" s="63"/>
      <c r="N74" s="63"/>
      <c r="O74" s="63"/>
      <c r="P74" s="63"/>
      <c r="Q74" s="63"/>
      <c r="R74" s="63"/>
      <c r="S74" s="63"/>
      <c r="T74" s="63"/>
      <c r="U74" s="77"/>
      <c r="V74" s="77"/>
      <c r="W74" s="181">
        <v>0.0175</v>
      </c>
    </row>
    <row r="75" spans="1:23" ht="12.75">
      <c r="A75" s="85" t="s">
        <v>2875</v>
      </c>
      <c r="B75" s="86" t="s">
        <v>2876</v>
      </c>
      <c r="C75" s="87" t="str">
        <f t="shared" si="0"/>
        <v>12 lat/a od dnia zakupu</v>
      </c>
      <c r="D75" s="87">
        <v>44835</v>
      </c>
      <c r="E75" s="87">
        <v>44865</v>
      </c>
      <c r="F75" s="88">
        <v>100</v>
      </c>
      <c r="G75" s="197" t="s">
        <v>8</v>
      </c>
      <c r="H75" s="178">
        <v>23.6014</v>
      </c>
      <c r="I75" s="192" t="s">
        <v>8</v>
      </c>
      <c r="J75" s="63">
        <v>0.075</v>
      </c>
      <c r="K75" s="63">
        <f>$W75+10.1%</f>
        <v>0.1185</v>
      </c>
      <c r="L75" s="63"/>
      <c r="M75" s="63"/>
      <c r="N75" s="63"/>
      <c r="O75" s="63"/>
      <c r="P75" s="63"/>
      <c r="Q75" s="63"/>
      <c r="R75" s="63"/>
      <c r="S75" s="63"/>
      <c r="T75" s="63"/>
      <c r="U75" s="77"/>
      <c r="V75" s="77"/>
      <c r="W75" s="181">
        <v>0.0175</v>
      </c>
    </row>
    <row r="76" spans="1:23" ht="12.75">
      <c r="A76" s="85" t="s">
        <v>2877</v>
      </c>
      <c r="B76" s="86" t="s">
        <v>2878</v>
      </c>
      <c r="C76" s="87" t="str">
        <f t="shared" si="0"/>
        <v>12 lat/a od dnia zakupu</v>
      </c>
      <c r="D76" s="87">
        <v>44866</v>
      </c>
      <c r="E76" s="87">
        <v>44895</v>
      </c>
      <c r="F76" s="88">
        <v>100</v>
      </c>
      <c r="G76" s="197" t="s">
        <v>8</v>
      </c>
      <c r="H76" s="178">
        <v>17.9561</v>
      </c>
      <c r="I76" s="192" t="s">
        <v>8</v>
      </c>
      <c r="J76" s="63">
        <v>0.075</v>
      </c>
      <c r="K76" s="63">
        <f>$W76+8.2%</f>
        <v>0.09949999999999999</v>
      </c>
      <c r="L76" s="63"/>
      <c r="M76" s="63"/>
      <c r="N76" s="63"/>
      <c r="O76" s="63"/>
      <c r="P76" s="63"/>
      <c r="Q76" s="63"/>
      <c r="R76" s="63"/>
      <c r="S76" s="63"/>
      <c r="T76" s="63"/>
      <c r="U76" s="77"/>
      <c r="V76" s="77"/>
      <c r="W76" s="181">
        <v>0.0175</v>
      </c>
    </row>
    <row r="77" spans="1:23" ht="12.75">
      <c r="A77" s="90" t="s">
        <v>2879</v>
      </c>
      <c r="B77" s="91" t="s">
        <v>2880</v>
      </c>
      <c r="C77" s="92" t="str">
        <f t="shared" si="0"/>
        <v>12 lat/a od dnia zakupu</v>
      </c>
      <c r="D77" s="92">
        <v>44896</v>
      </c>
      <c r="E77" s="92">
        <v>44926</v>
      </c>
      <c r="F77" s="93">
        <v>100</v>
      </c>
      <c r="G77" s="194" t="s">
        <v>8</v>
      </c>
      <c r="H77" s="183">
        <v>19.9766</v>
      </c>
      <c r="I77" s="196" t="s">
        <v>8</v>
      </c>
      <c r="J77" s="65">
        <v>0.075</v>
      </c>
      <c r="K77" s="65">
        <f>$W77+6.6%</f>
        <v>0.0835</v>
      </c>
      <c r="L77" s="65"/>
      <c r="M77" s="65"/>
      <c r="N77" s="65"/>
      <c r="O77" s="65"/>
      <c r="P77" s="65"/>
      <c r="Q77" s="65"/>
      <c r="R77" s="65"/>
      <c r="S77" s="65"/>
      <c r="T77" s="65"/>
      <c r="U77" s="78"/>
      <c r="V77" s="78"/>
      <c r="W77" s="184">
        <v>0.0175</v>
      </c>
    </row>
    <row r="78" spans="1:23" ht="12.75">
      <c r="A78" s="85" t="s">
        <v>2881</v>
      </c>
      <c r="B78" s="86" t="s">
        <v>2882</v>
      </c>
      <c r="C78" s="87" t="str">
        <f t="shared" si="0"/>
        <v>12 lat/a od dnia zakupu</v>
      </c>
      <c r="D78" s="87">
        <v>44927</v>
      </c>
      <c r="E78" s="87">
        <v>44957</v>
      </c>
      <c r="F78" s="88">
        <v>100</v>
      </c>
      <c r="G78" s="197" t="s">
        <v>8</v>
      </c>
      <c r="H78" s="178">
        <v>18.814600000000002</v>
      </c>
      <c r="I78" s="192" t="s">
        <v>8</v>
      </c>
      <c r="J78" s="63">
        <v>0.075</v>
      </c>
      <c r="K78" s="63">
        <f>$W78+6.6%</f>
        <v>0.0835</v>
      </c>
      <c r="L78" s="63"/>
      <c r="M78" s="63"/>
      <c r="N78" s="63"/>
      <c r="O78" s="63"/>
      <c r="P78" s="63"/>
      <c r="Q78" s="63"/>
      <c r="R78" s="63"/>
      <c r="S78" s="63"/>
      <c r="T78" s="63"/>
      <c r="U78" s="77"/>
      <c r="V78" s="77"/>
      <c r="W78" s="181">
        <v>0.0175</v>
      </c>
    </row>
    <row r="79" spans="1:23" ht="12.75">
      <c r="A79" s="85" t="s">
        <v>2883</v>
      </c>
      <c r="B79" s="86" t="s">
        <v>2884</v>
      </c>
      <c r="C79" s="87" t="str">
        <f t="shared" si="0"/>
        <v>12 lat/a od dnia zakupu</v>
      </c>
      <c r="D79" s="87">
        <v>44958</v>
      </c>
      <c r="E79" s="87">
        <v>44985</v>
      </c>
      <c r="F79" s="88">
        <v>100</v>
      </c>
      <c r="G79" s="197" t="s">
        <v>8</v>
      </c>
      <c r="H79" s="178">
        <v>17.9975</v>
      </c>
      <c r="I79" s="192" t="s">
        <v>8</v>
      </c>
      <c r="J79" s="63">
        <v>0.075</v>
      </c>
      <c r="K79" s="63">
        <f>$W79+6.2%</f>
        <v>0.0795</v>
      </c>
      <c r="L79" s="63"/>
      <c r="M79" s="63"/>
      <c r="N79" s="63"/>
      <c r="O79" s="63"/>
      <c r="P79" s="63"/>
      <c r="Q79" s="63"/>
      <c r="R79" s="63"/>
      <c r="S79" s="63"/>
      <c r="T79" s="63"/>
      <c r="U79" s="77"/>
      <c r="V79" s="77"/>
      <c r="W79" s="181">
        <v>0.0175</v>
      </c>
    </row>
    <row r="80" spans="1:23" ht="12.75">
      <c r="A80" s="85" t="s">
        <v>2885</v>
      </c>
      <c r="B80" s="86" t="s">
        <v>2886</v>
      </c>
      <c r="C80" s="87" t="str">
        <f t="shared" si="0"/>
        <v>12 lat/a od dnia zakupu</v>
      </c>
      <c r="D80" s="87">
        <v>44986</v>
      </c>
      <c r="E80" s="87">
        <v>45016</v>
      </c>
      <c r="F80" s="88">
        <v>100</v>
      </c>
      <c r="G80" s="197" t="s">
        <v>8</v>
      </c>
      <c r="H80" s="178">
        <v>21.8509</v>
      </c>
      <c r="I80" s="192" t="s">
        <v>8</v>
      </c>
      <c r="J80" s="63">
        <v>0.075</v>
      </c>
      <c r="K80" s="63">
        <f>$W80+3.9%</f>
        <v>0.0565</v>
      </c>
      <c r="L80" s="63"/>
      <c r="M80" s="63"/>
      <c r="N80" s="63"/>
      <c r="O80" s="63"/>
      <c r="P80" s="63"/>
      <c r="Q80" s="63"/>
      <c r="R80" s="63"/>
      <c r="S80" s="63"/>
      <c r="T80" s="63"/>
      <c r="U80" s="77"/>
      <c r="V80" s="77"/>
      <c r="W80" s="181">
        <v>0.0175</v>
      </c>
    </row>
    <row r="81" spans="1:23" ht="12.75">
      <c r="A81" s="85" t="s">
        <v>2887</v>
      </c>
      <c r="B81" s="86" t="s">
        <v>2888</v>
      </c>
      <c r="C81" s="87" t="str">
        <f t="shared" si="0"/>
        <v>12 lat/a od dnia zakupu</v>
      </c>
      <c r="D81" s="87">
        <v>45017</v>
      </c>
      <c r="E81" s="87">
        <v>45046</v>
      </c>
      <c r="F81" s="88">
        <v>100</v>
      </c>
      <c r="G81" s="197" t="s">
        <v>8</v>
      </c>
      <c r="H81" s="178">
        <v>21.1433</v>
      </c>
      <c r="I81" s="192" t="s">
        <v>8</v>
      </c>
      <c r="J81" s="63">
        <v>0.075</v>
      </c>
      <c r="K81" s="63">
        <f>$W81+2.8%</f>
        <v>0.0455</v>
      </c>
      <c r="L81" s="63"/>
      <c r="M81" s="63"/>
      <c r="N81" s="63"/>
      <c r="O81" s="63"/>
      <c r="P81" s="63"/>
      <c r="Q81" s="63"/>
      <c r="R81" s="63"/>
      <c r="S81" s="63"/>
      <c r="T81" s="63"/>
      <c r="U81" s="77"/>
      <c r="V81" s="77"/>
      <c r="W81" s="181">
        <v>0.0175</v>
      </c>
    </row>
    <row r="82" spans="1:23" ht="12.75">
      <c r="A82" s="85" t="s">
        <v>2889</v>
      </c>
      <c r="B82" s="86" t="s">
        <v>2890</v>
      </c>
      <c r="C82" s="87" t="str">
        <f t="shared" si="0"/>
        <v>12 lat/a od dnia zakupu</v>
      </c>
      <c r="D82" s="87">
        <v>45047</v>
      </c>
      <c r="E82" s="87">
        <v>45077</v>
      </c>
      <c r="F82" s="88">
        <v>100</v>
      </c>
      <c r="G82" s="197" t="s">
        <v>8</v>
      </c>
      <c r="H82" s="178">
        <v>20.9008</v>
      </c>
      <c r="I82" s="192" t="s">
        <v>8</v>
      </c>
      <c r="J82" s="63">
        <v>0.075</v>
      </c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77"/>
      <c r="V82" s="77"/>
      <c r="W82" s="181">
        <v>0.0175</v>
      </c>
    </row>
    <row r="83" spans="1:23" ht="12.75">
      <c r="A83" s="85" t="s">
        <v>2891</v>
      </c>
      <c r="B83" s="86" t="s">
        <v>2892</v>
      </c>
      <c r="C83" s="87" t="str">
        <f t="shared" si="0"/>
        <v>12 lat/a od dnia zakupu</v>
      </c>
      <c r="D83" s="87">
        <v>45078</v>
      </c>
      <c r="E83" s="87">
        <v>45107</v>
      </c>
      <c r="F83" s="88">
        <v>100</v>
      </c>
      <c r="G83" s="197" t="s">
        <v>8</v>
      </c>
      <c r="H83" s="178">
        <v>18.5735</v>
      </c>
      <c r="I83" s="192" t="s">
        <v>8</v>
      </c>
      <c r="J83" s="63">
        <v>0.075</v>
      </c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77"/>
      <c r="V83" s="77"/>
      <c r="W83" s="181">
        <v>0.0175</v>
      </c>
    </row>
    <row r="84" spans="1:23" ht="12.75">
      <c r="A84" s="85" t="s">
        <v>2893</v>
      </c>
      <c r="B84" s="86" t="s">
        <v>2894</v>
      </c>
      <c r="C84" s="87" t="str">
        <f t="shared" si="0"/>
        <v>12 lat/a od dnia zakupu</v>
      </c>
      <c r="D84" s="87">
        <v>45108</v>
      </c>
      <c r="E84" s="87">
        <v>45138</v>
      </c>
      <c r="F84" s="88">
        <v>100</v>
      </c>
      <c r="G84" s="197" t="s">
        <v>8</v>
      </c>
      <c r="H84" s="178">
        <v>18.9745</v>
      </c>
      <c r="I84" s="192" t="s">
        <v>8</v>
      </c>
      <c r="J84" s="63">
        <v>0.075</v>
      </c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77"/>
      <c r="V84" s="77"/>
      <c r="W84" s="181">
        <v>0.0175</v>
      </c>
    </row>
    <row r="85" spans="1:23" ht="12.75">
      <c r="A85" s="85" t="s">
        <v>2895</v>
      </c>
      <c r="B85" s="86" t="s">
        <v>2896</v>
      </c>
      <c r="C85" s="87" t="str">
        <f t="shared" si="0"/>
        <v>12 lat/a od dnia zakupu</v>
      </c>
      <c r="D85" s="87">
        <v>45139</v>
      </c>
      <c r="E85" s="87">
        <v>45169</v>
      </c>
      <c r="F85" s="88">
        <v>100</v>
      </c>
      <c r="G85" s="197" t="s">
        <v>8</v>
      </c>
      <c r="H85" s="178">
        <v>20.501</v>
      </c>
      <c r="I85" s="192" t="s">
        <v>8</v>
      </c>
      <c r="J85" s="63">
        <v>0.075</v>
      </c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77"/>
      <c r="V85" s="77"/>
      <c r="W85" s="181">
        <v>0.0175</v>
      </c>
    </row>
    <row r="86" spans="1:23" ht="12.75">
      <c r="A86" s="85" t="s">
        <v>2897</v>
      </c>
      <c r="B86" s="86" t="s">
        <v>2898</v>
      </c>
      <c r="C86" s="87" t="str">
        <f t="shared" si="0"/>
        <v>12 lat/a od dnia zakupu</v>
      </c>
      <c r="D86" s="87">
        <v>45170</v>
      </c>
      <c r="E86" s="87">
        <v>45199</v>
      </c>
      <c r="F86" s="88">
        <v>100</v>
      </c>
      <c r="G86" s="197" t="s">
        <v>8</v>
      </c>
      <c r="H86" s="178">
        <v>26.6401</v>
      </c>
      <c r="I86" s="192" t="s">
        <v>8</v>
      </c>
      <c r="J86" s="63">
        <v>0.075</v>
      </c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77"/>
      <c r="V86" s="77"/>
      <c r="W86" s="181">
        <v>0.0175</v>
      </c>
    </row>
    <row r="87" spans="1:23" ht="12.75">
      <c r="A87" s="85" t="s">
        <v>2899</v>
      </c>
      <c r="B87" s="86" t="s">
        <v>2900</v>
      </c>
      <c r="C87" s="87" t="str">
        <f t="shared" si="0"/>
        <v>12 lat/a od dnia zakupu</v>
      </c>
      <c r="D87" s="87">
        <v>45200</v>
      </c>
      <c r="E87" s="87">
        <v>45230</v>
      </c>
      <c r="F87" s="88">
        <v>100</v>
      </c>
      <c r="G87" s="197" t="s">
        <v>8</v>
      </c>
      <c r="H87" s="178">
        <v>67.8415</v>
      </c>
      <c r="I87" s="192" t="s">
        <v>8</v>
      </c>
      <c r="J87" s="63">
        <v>0.075</v>
      </c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77"/>
      <c r="V87" s="77"/>
      <c r="W87" s="181">
        <v>0.02</v>
      </c>
    </row>
    <row r="88" spans="1:23" ht="12.75">
      <c r="A88" s="85" t="s">
        <v>2901</v>
      </c>
      <c r="B88" s="86" t="s">
        <v>2902</v>
      </c>
      <c r="C88" s="87" t="str">
        <f aca="true" t="shared" si="1" ref="C88:C93">"12"&amp;WykupCOI</f>
        <v>12 lat/a od dnia zakupu</v>
      </c>
      <c r="D88" s="87">
        <v>45231</v>
      </c>
      <c r="E88" s="87">
        <v>45260</v>
      </c>
      <c r="F88" s="88">
        <v>100</v>
      </c>
      <c r="G88" s="197" t="s">
        <v>8</v>
      </c>
      <c r="H88" s="178">
        <v>24.204</v>
      </c>
      <c r="I88" s="192" t="s">
        <v>8</v>
      </c>
      <c r="J88" s="63">
        <v>0.0725</v>
      </c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77"/>
      <c r="V88" s="77"/>
      <c r="W88" s="181">
        <v>0.02</v>
      </c>
    </row>
    <row r="89" spans="1:23" ht="12.75">
      <c r="A89" s="90" t="s">
        <v>2917</v>
      </c>
      <c r="B89" s="91" t="s">
        <v>2918</v>
      </c>
      <c r="C89" s="92" t="str">
        <f t="shared" si="1"/>
        <v>12 lat/a od dnia zakupu</v>
      </c>
      <c r="D89" s="92">
        <v>45261</v>
      </c>
      <c r="E89" s="92">
        <v>45291</v>
      </c>
      <c r="F89" s="93">
        <v>100</v>
      </c>
      <c r="G89" s="194" t="s">
        <v>8</v>
      </c>
      <c r="H89" s="183">
        <v>36.2199</v>
      </c>
      <c r="I89" s="196" t="s">
        <v>8</v>
      </c>
      <c r="J89" s="65">
        <v>0.0725</v>
      </c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78"/>
      <c r="V89" s="78"/>
      <c r="W89" s="184">
        <v>0.02</v>
      </c>
    </row>
    <row r="90" spans="1:23" ht="12.75">
      <c r="A90" s="85" t="s">
        <v>2933</v>
      </c>
      <c r="B90" s="86" t="s">
        <v>2934</v>
      </c>
      <c r="C90" s="87" t="str">
        <f t="shared" si="1"/>
        <v>12 lat/a od dnia zakupu</v>
      </c>
      <c r="D90" s="87">
        <f>_XLL.NR.SER.DATY(D89,1)</f>
        <v>45292</v>
      </c>
      <c r="E90" s="87">
        <f>_XLL.NR.SER.OST.DN.MIES(D90,0)</f>
        <v>45322</v>
      </c>
      <c r="F90" s="88">
        <v>100</v>
      </c>
      <c r="G90" s="197" t="s">
        <v>8</v>
      </c>
      <c r="H90" s="178">
        <v>32.064</v>
      </c>
      <c r="I90" s="192" t="s">
        <v>8</v>
      </c>
      <c r="J90" s="63">
        <v>0.0715</v>
      </c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77"/>
      <c r="V90" s="77"/>
      <c r="W90" s="181">
        <v>0.02</v>
      </c>
    </row>
    <row r="91" spans="1:23" s="7" customFormat="1" ht="12.75">
      <c r="A91" s="85" t="s">
        <v>2949</v>
      </c>
      <c r="B91" s="86" t="s">
        <v>2950</v>
      </c>
      <c r="C91" s="87" t="str">
        <f t="shared" si="1"/>
        <v>12 lat/a od dnia zakupu</v>
      </c>
      <c r="D91" s="87">
        <f>_XLL.NR.SER.DATY(D90,1)</f>
        <v>45323</v>
      </c>
      <c r="E91" s="87">
        <f>_XLL.NR.SER.OST.DN.MIES(D91,0)-1</f>
        <v>45350</v>
      </c>
      <c r="F91" s="88">
        <v>100</v>
      </c>
      <c r="G91" s="197" t="s">
        <v>8</v>
      </c>
      <c r="H91" s="178">
        <v>31.3999</v>
      </c>
      <c r="I91" s="192" t="s">
        <v>8</v>
      </c>
      <c r="J91" s="63">
        <v>0.0705</v>
      </c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77"/>
      <c r="V91" s="77"/>
      <c r="W91" s="181">
        <v>0.02</v>
      </c>
    </row>
    <row r="92" spans="1:23" s="7" customFormat="1" ht="12.75">
      <c r="A92" s="85" t="s">
        <v>2965</v>
      </c>
      <c r="B92" s="86" t="s">
        <v>2966</v>
      </c>
      <c r="C92" s="87" t="str">
        <f t="shared" si="1"/>
        <v>12 lat/a od dnia zakupu</v>
      </c>
      <c r="D92" s="87">
        <f>_XLL.NR.SER.DATY(D91,1)</f>
        <v>45352</v>
      </c>
      <c r="E92" s="87">
        <f>_XLL.NR.SER.OST.DN.MIES(D92,0)</f>
        <v>45382</v>
      </c>
      <c r="F92" s="88">
        <v>100</v>
      </c>
      <c r="G92" s="197" t="s">
        <v>8</v>
      </c>
      <c r="H92" s="178">
        <v>37.0151</v>
      </c>
      <c r="I92" s="192" t="s">
        <v>8</v>
      </c>
      <c r="J92" s="63">
        <v>0.0705</v>
      </c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77"/>
      <c r="V92" s="77"/>
      <c r="W92" s="181">
        <v>0.02</v>
      </c>
    </row>
    <row r="93" spans="1:23" s="7" customFormat="1" ht="12.75">
      <c r="A93" s="90" t="s">
        <v>2981</v>
      </c>
      <c r="B93" s="91" t="s">
        <v>2982</v>
      </c>
      <c r="C93" s="92" t="str">
        <f t="shared" si="1"/>
        <v>12 lat/a od dnia zakupu</v>
      </c>
      <c r="D93" s="92">
        <f>_XLL.NR.SER.DATY(D92,1)</f>
        <v>45383</v>
      </c>
      <c r="E93" s="92">
        <f>_XLL.NR.SER.OST.DN.MIES(D93,0)</f>
        <v>45412</v>
      </c>
      <c r="F93" s="93">
        <v>100</v>
      </c>
      <c r="G93" s="194" t="s">
        <v>8</v>
      </c>
      <c r="H93" s="183"/>
      <c r="I93" s="196" t="s">
        <v>8</v>
      </c>
      <c r="J93" s="65">
        <v>0.0705</v>
      </c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78"/>
      <c r="V93" s="78"/>
      <c r="W93" s="184">
        <v>0.02</v>
      </c>
    </row>
  </sheetData>
  <sheetProtection/>
  <mergeCells count="1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V1:V2"/>
    <mergeCell ref="W1:W2"/>
    <mergeCell ref="J1:U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  <ignoredErrors>
    <ignoredError sqref="K6:N41 M5 K46:N53 K42:M42 K58:N65 K54:L54 N54 K67 K66 M66:N66 K43:M43 K55:L55 N55 M67:N67 K44:M44 K56:L56 N56 E91 K45:M45 K57:L57 N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2017-09-21T12:51:55Z</cp:lastPrinted>
  <dcterms:created xsi:type="dcterms:W3CDTF">1999-09-12T09:51:33Z</dcterms:created>
  <dcterms:modified xsi:type="dcterms:W3CDTF">2024-04-09T09:05:48Z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UxC4dwLulzfINJ8nQH+xvX5LNGipWa4BRSZhPgxsCvnU/+xoAJRrCnbDOFFyLQ2HGf4liGARwsKsba1xUkh1ow==</vt:lpwstr>
  </property>
  <property fmtid="{D5CDD505-2E9C-101B-9397-08002B2CF9AE}" pid="4" name="MFClassificationDate">
    <vt:lpwstr>2021-12-16T15:02:05.9927426+01:00</vt:lpwstr>
  </property>
  <property fmtid="{D5CDD505-2E9C-101B-9397-08002B2CF9AE}" pid="5" name="MFClassifiedBySID">
    <vt:lpwstr>UxC4dwLulzfINJ8nQH+xvX5LNGipWa4BRSZhPgxsCvm42mrIC/DSDv0ggS+FjUN/2v1BBotkLlY5aAiEhoi6ua+6RnIg6phQmYlu65+f8OGYJCPHSuw38ZyphCxHMcE6</vt:lpwstr>
  </property>
  <property fmtid="{D5CDD505-2E9C-101B-9397-08002B2CF9AE}" pid="6" name="MFGRNItemId">
    <vt:lpwstr>GRN-8686e5ef-0c07-45d7-a16f-b064d14871ad</vt:lpwstr>
  </property>
  <property fmtid="{D5CDD505-2E9C-101B-9397-08002B2CF9AE}" pid="7" name="MFHash">
    <vt:lpwstr>jbn1eWqwonGfjg+yGcTN0qHgXQ4nnj2PVpg4Zf7jy4A=</vt:lpwstr>
  </property>
  <property fmtid="{D5CDD505-2E9C-101B-9397-08002B2CF9AE}" pid="8" name="MFVisualMarkingsSettings">
    <vt:lpwstr>HeaderAlignment=1;FooterAlignment=1</vt:lpwstr>
  </property>
  <property fmtid="{D5CDD505-2E9C-101B-9397-08002B2CF9AE}" pid="9" name="DLPManualFileClassification">
    <vt:lpwstr>{2755b7d9-e53d-4779-a40c-03797dcf43b3}</vt:lpwstr>
  </property>
  <property fmtid="{D5CDD505-2E9C-101B-9397-08002B2CF9AE}" pid="10" name="MFRefresh">
    <vt:lpwstr>False</vt:lpwstr>
  </property>
</Properties>
</file>