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1E0479CC-722F-489D-8760-F1A5B4D87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8" i="4" l="1"/>
  <c r="C147" i="4"/>
  <c r="C146" i="4"/>
  <c r="B109" i="4" s="1"/>
  <c r="C145" i="4"/>
  <c r="D143" i="4"/>
  <c r="C143" i="4"/>
  <c r="D142" i="4"/>
  <c r="C142" i="4"/>
  <c r="D141" i="4"/>
  <c r="C141" i="4"/>
  <c r="D140" i="4"/>
  <c r="C140" i="4"/>
  <c r="D139" i="4"/>
  <c r="C139" i="4"/>
  <c r="D138" i="4"/>
  <c r="C138" i="4"/>
  <c r="D137" i="4"/>
  <c r="C137" i="4"/>
  <c r="D136" i="4"/>
  <c r="C136" i="4"/>
  <c r="D135" i="4"/>
  <c r="C135" i="4"/>
  <c r="D130" i="4"/>
  <c r="C130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I106" i="4"/>
  <c r="H106" i="4"/>
  <c r="G106" i="4"/>
  <c r="F106" i="4"/>
  <c r="E106" i="4"/>
  <c r="D106" i="4"/>
  <c r="C106" i="4"/>
  <c r="I105" i="4"/>
  <c r="H105" i="4"/>
  <c r="G105" i="4"/>
  <c r="F105" i="4"/>
  <c r="E105" i="4"/>
  <c r="D105" i="4"/>
  <c r="C105" i="4"/>
  <c r="G101" i="4"/>
  <c r="F101" i="4"/>
  <c r="E101" i="4"/>
  <c r="D101" i="4"/>
  <c r="C101" i="4"/>
  <c r="G100" i="4"/>
  <c r="F100" i="4"/>
  <c r="E100" i="4"/>
  <c r="D100" i="4"/>
  <c r="C100" i="4"/>
  <c r="G96" i="4"/>
  <c r="F96" i="4"/>
  <c r="E96" i="4"/>
  <c r="D96" i="4"/>
  <c r="C96" i="4"/>
  <c r="G95" i="4"/>
  <c r="F95" i="4"/>
  <c r="E95" i="4"/>
  <c r="D95" i="4"/>
  <c r="C95" i="4"/>
  <c r="I87" i="4"/>
  <c r="H87" i="4"/>
  <c r="G87" i="4"/>
  <c r="F87" i="4"/>
  <c r="E87" i="4"/>
  <c r="D87" i="4"/>
  <c r="C87" i="4"/>
  <c r="I86" i="4"/>
  <c r="H86" i="4"/>
  <c r="G86" i="4"/>
  <c r="F86" i="4"/>
  <c r="E86" i="4"/>
  <c r="D86" i="4"/>
  <c r="C86" i="4"/>
  <c r="I85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83" i="4"/>
  <c r="H83" i="4"/>
  <c r="G83" i="4"/>
  <c r="F83" i="4"/>
  <c r="E83" i="4"/>
  <c r="D83" i="4"/>
  <c r="C83" i="4"/>
  <c r="I81" i="4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68" i="4"/>
  <c r="H68" i="4"/>
  <c r="G68" i="4"/>
  <c r="F68" i="4"/>
  <c r="E68" i="4"/>
  <c r="D68" i="4"/>
  <c r="C68" i="4"/>
  <c r="D65" i="4"/>
  <c r="C65" i="4"/>
  <c r="D64" i="4"/>
  <c r="C64" i="4"/>
  <c r="D63" i="4"/>
  <c r="C63" i="4"/>
  <c r="D62" i="4"/>
  <c r="C62" i="4"/>
  <c r="D61" i="4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K51" i="4" s="1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K43" i="4" s="1"/>
  <c r="D42" i="4"/>
  <c r="C42" i="4"/>
  <c r="D40" i="4"/>
  <c r="C40" i="4"/>
  <c r="D39" i="4"/>
  <c r="C39" i="4"/>
  <c r="D38" i="4"/>
  <c r="C38" i="4"/>
  <c r="D37" i="4"/>
  <c r="C37" i="4"/>
  <c r="K37" i="4" s="1"/>
  <c r="D36" i="4"/>
  <c r="C36" i="4"/>
  <c r="D35" i="4"/>
  <c r="C35" i="4"/>
  <c r="D33" i="4"/>
  <c r="C33" i="4"/>
  <c r="D32" i="4"/>
  <c r="C32" i="4"/>
  <c r="D31" i="4"/>
  <c r="C31" i="4"/>
  <c r="D30" i="4"/>
  <c r="C30" i="4"/>
  <c r="C27" i="4" s="1"/>
  <c r="D29" i="4"/>
  <c r="C29" i="4"/>
  <c r="D28" i="4"/>
  <c r="C28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K21" i="4" s="1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K16" i="4" s="1"/>
  <c r="I15" i="4"/>
  <c r="H15" i="4"/>
  <c r="G15" i="4"/>
  <c r="G24" i="4" s="1"/>
  <c r="F15" i="4"/>
  <c r="E15" i="4"/>
  <c r="D15" i="4"/>
  <c r="J15" i="4" s="1"/>
  <c r="C15" i="4"/>
  <c r="K15" i="4" s="1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H6" i="4" s="1"/>
  <c r="G5" i="4"/>
  <c r="F5" i="4"/>
  <c r="E5" i="4"/>
  <c r="E6" i="4" s="1"/>
  <c r="D5" i="4"/>
  <c r="J59" i="4" s="1"/>
  <c r="C5" i="4"/>
  <c r="K49" i="4"/>
  <c r="K56" i="4"/>
  <c r="K83" i="4"/>
  <c r="F116" i="4"/>
  <c r="K11" i="4"/>
  <c r="K8" i="4"/>
  <c r="K17" i="4"/>
  <c r="D34" i="4"/>
  <c r="J34" i="4" s="1"/>
  <c r="K57" i="4"/>
  <c r="K36" i="4"/>
  <c r="K61" i="4"/>
  <c r="K13" i="4"/>
  <c r="F125" i="4"/>
  <c r="E128" i="4"/>
  <c r="E127" i="4"/>
  <c r="E129" i="4"/>
  <c r="E126" i="4"/>
  <c r="E125" i="4"/>
  <c r="E130" i="4"/>
  <c r="K20" i="4"/>
  <c r="K46" i="4"/>
  <c r="K79" i="4"/>
  <c r="C82" i="4"/>
  <c r="J85" i="4"/>
  <c r="J87" i="4"/>
  <c r="J83" i="4"/>
  <c r="J86" i="4"/>
  <c r="J80" i="4"/>
  <c r="J84" i="4"/>
  <c r="J79" i="4"/>
  <c r="D82" i="4"/>
  <c r="D88" i="4"/>
  <c r="J88" i="4"/>
  <c r="J81" i="4"/>
  <c r="F117" i="4"/>
  <c r="F130" i="4"/>
  <c r="K38" i="4"/>
  <c r="G82" i="4"/>
  <c r="G88" i="4"/>
  <c r="D27" i="4"/>
  <c r="K62" i="4"/>
  <c r="I82" i="4"/>
  <c r="I88" i="4" s="1"/>
  <c r="K29" i="4"/>
  <c r="K39" i="4"/>
  <c r="K52" i="4"/>
  <c r="K80" i="4"/>
  <c r="K87" i="4"/>
  <c r="C107" i="4"/>
  <c r="K105" i="4"/>
  <c r="F122" i="4"/>
  <c r="K5" i="4"/>
  <c r="C67" i="4"/>
  <c r="C89" i="4"/>
  <c r="K9" i="4"/>
  <c r="K18" i="4"/>
  <c r="K63" i="4"/>
  <c r="J106" i="4"/>
  <c r="D107" i="4"/>
  <c r="J107" i="4" s="1"/>
  <c r="J105" i="4"/>
  <c r="J36" i="4"/>
  <c r="J62" i="4"/>
  <c r="J33" i="4"/>
  <c r="J16" i="4"/>
  <c r="J20" i="4"/>
  <c r="J47" i="4"/>
  <c r="J63" i="4"/>
  <c r="J43" i="4"/>
  <c r="J23" i="4"/>
  <c r="J18" i="4"/>
  <c r="J58" i="4"/>
  <c r="J7" i="4"/>
  <c r="J45" i="4"/>
  <c r="D67" i="4"/>
  <c r="D69" i="4" s="1"/>
  <c r="D90" i="4" s="1"/>
  <c r="J61" i="4"/>
  <c r="J10" i="4"/>
  <c r="J28" i="4"/>
  <c r="J37" i="4"/>
  <c r="J68" i="4"/>
  <c r="J32" i="4"/>
  <c r="J22" i="4"/>
  <c r="K19" i="4"/>
  <c r="K44" i="4"/>
  <c r="F123" i="4"/>
  <c r="K55" i="4"/>
  <c r="K64" i="4"/>
  <c r="K31" i="4"/>
  <c r="K45" i="4"/>
  <c r="K85" i="4"/>
  <c r="F124" i="4"/>
  <c r="K7" i="4"/>
  <c r="D41" i="4"/>
  <c r="J41" i="4" s="1"/>
  <c r="K50" i="4"/>
  <c r="K86" i="4"/>
  <c r="I107" i="4"/>
  <c r="F118" i="4"/>
  <c r="F128" i="4"/>
  <c r="K23" i="4"/>
  <c r="K32" i="4"/>
  <c r="K58" i="4"/>
  <c r="K106" i="4"/>
  <c r="D145" i="4"/>
  <c r="K84" i="4"/>
  <c r="F119" i="4"/>
  <c r="F129" i="4"/>
  <c r="F6" i="4"/>
  <c r="F67" i="4"/>
  <c r="F69" i="4"/>
  <c r="E82" i="4"/>
  <c r="E88" i="4"/>
  <c r="K81" i="4"/>
  <c r="E107" i="4"/>
  <c r="F114" i="4"/>
  <c r="F120" i="4"/>
  <c r="F126" i="4"/>
  <c r="G6" i="4"/>
  <c r="G67" i="4"/>
  <c r="G69" i="4"/>
  <c r="K10" i="4"/>
  <c r="K22" i="4"/>
  <c r="K33" i="4"/>
  <c r="K40" i="4"/>
  <c r="K47" i="4"/>
  <c r="K53" i="4"/>
  <c r="K59" i="4"/>
  <c r="K65" i="4"/>
  <c r="F82" i="4"/>
  <c r="F88" i="4"/>
  <c r="F107" i="4"/>
  <c r="E122" i="4"/>
  <c r="E120" i="4"/>
  <c r="E123" i="4"/>
  <c r="E118" i="4"/>
  <c r="E124" i="4"/>
  <c r="E115" i="4"/>
  <c r="E114" i="4"/>
  <c r="E117" i="4"/>
  <c r="E119" i="4"/>
  <c r="E121" i="4"/>
  <c r="E116" i="4"/>
  <c r="G107" i="4"/>
  <c r="F115" i="4"/>
  <c r="F121" i="4"/>
  <c r="F127" i="4"/>
  <c r="I67" i="4"/>
  <c r="I69" i="4"/>
  <c r="I6" i="4"/>
  <c r="K12" i="4"/>
  <c r="K28" i="4"/>
  <c r="K35" i="4"/>
  <c r="C41" i="4"/>
  <c r="K42" i="4"/>
  <c r="K48" i="4"/>
  <c r="K54" i="4"/>
  <c r="K60" i="4"/>
  <c r="K68" i="4"/>
  <c r="H82" i="4"/>
  <c r="H88" i="4"/>
  <c r="H107" i="4"/>
  <c r="J82" i="4"/>
  <c r="C88" i="4"/>
  <c r="K88" i="4"/>
  <c r="K82" i="4"/>
  <c r="C69" i="4"/>
  <c r="B72" i="4" l="1"/>
  <c r="B1" i="4"/>
  <c r="K107" i="4"/>
  <c r="D26" i="4"/>
  <c r="D25" i="4" s="1"/>
  <c r="D6" i="4" s="1"/>
  <c r="J6" i="4" s="1"/>
  <c r="K41" i="4"/>
  <c r="C34" i="4"/>
  <c r="K34" i="4" s="1"/>
  <c r="C26" i="4"/>
  <c r="K26" i="4" s="1"/>
  <c r="K27" i="4"/>
  <c r="K30" i="4"/>
  <c r="J26" i="4"/>
  <c r="J27" i="4"/>
  <c r="E24" i="4"/>
  <c r="H24" i="4"/>
  <c r="F24" i="4"/>
  <c r="K14" i="4"/>
  <c r="I24" i="4"/>
  <c r="H67" i="4"/>
  <c r="H69" i="4" s="1"/>
  <c r="E67" i="4"/>
  <c r="E69" i="4" s="1"/>
  <c r="J19" i="4"/>
  <c r="J8" i="4"/>
  <c r="J13" i="4"/>
  <c r="J64" i="4"/>
  <c r="J35" i="4"/>
  <c r="J11" i="4"/>
  <c r="J9" i="4"/>
  <c r="J29" i="4"/>
  <c r="J49" i="4"/>
  <c r="J55" i="4"/>
  <c r="J38" i="4"/>
  <c r="J51" i="4"/>
  <c r="J42" i="4"/>
  <c r="J53" i="4"/>
  <c r="J60" i="4"/>
  <c r="J57" i="4"/>
  <c r="J30" i="4"/>
  <c r="J56" i="4"/>
  <c r="J40" i="4"/>
  <c r="J31" i="4"/>
  <c r="J52" i="4"/>
  <c r="J12" i="4"/>
  <c r="K67" i="4"/>
  <c r="J48" i="4"/>
  <c r="J67" i="4"/>
  <c r="J21" i="4"/>
  <c r="J50" i="4"/>
  <c r="J39" i="4"/>
  <c r="K69" i="4"/>
  <c r="J65" i="4"/>
  <c r="J69" i="4"/>
  <c r="J14" i="4"/>
  <c r="J17" i="4"/>
  <c r="J54" i="4"/>
  <c r="J46" i="4"/>
  <c r="D89" i="4"/>
  <c r="J44" i="4"/>
  <c r="J5" i="4"/>
  <c r="C90" i="4"/>
  <c r="J25" i="4" l="1"/>
  <c r="C25" i="4"/>
  <c r="C6" i="4" s="1"/>
  <c r="L12" i="4"/>
  <c r="L8" i="4"/>
  <c r="L23" i="4"/>
  <c r="L13" i="4"/>
  <c r="L10" i="4"/>
  <c r="L15" i="4"/>
  <c r="L20" i="4"/>
  <c r="L17" i="4"/>
  <c r="L21" i="4"/>
  <c r="L14" i="4"/>
  <c r="L16" i="4"/>
  <c r="L22" i="4"/>
  <c r="L11" i="4"/>
  <c r="L19" i="4"/>
  <c r="D24" i="4"/>
  <c r="L7" i="4"/>
  <c r="L9" i="4"/>
  <c r="L6" i="4"/>
  <c r="L18" i="4"/>
  <c r="C24" i="4" l="1"/>
  <c r="K24" i="4" s="1"/>
  <c r="K6" i="4"/>
  <c r="K25" i="4"/>
  <c r="J24" i="4"/>
  <c r="L24" i="4"/>
</calcChain>
</file>

<file path=xl/sharedStrings.xml><?xml version="1.0" encoding="utf-8"?>
<sst xmlns="http://schemas.openxmlformats.org/spreadsheetml/2006/main" count="377" uniqueCount="131">
  <si>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</si>
  <si>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</si>
  <si>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</si>
  <si>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</si>
  <si>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</si>
  <si>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</si>
  <si>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</si>
  <si>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</si>
  <si>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</si>
  <si>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</si>
  <si>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</si>
  <si>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</si>
  <si>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</si>
  <si>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</si>
  <si>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</si>
  <si>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</si>
  <si>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</si>
  <si>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</si>
  <si>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</si>
  <si>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</si>
  <si>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</si>
  <si>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</si>
  <si>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</si>
  <si>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</si>
  <si>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</si>
  <si>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</si>
  <si>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</si>
  <si>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</si>
  <si>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</si>
  <si>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</si>
  <si>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</si>
  <si>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</si>
  <si>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</si>
  <si>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</si>
  <si>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</si>
  <si>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</si>
  <si>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</si>
  <si>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</si>
  <si>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</si>
  <si>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</si>
  <si>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</si>
  <si>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- część gminna</t>
  </si>
  <si>
    <t>- część powiatowa</t>
  </si>
  <si>
    <t>- pozostałe</t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</si>
  <si>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</si>
  <si>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</si>
  <si>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</si>
  <si>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</si>
  <si>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</si>
  <si>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</si>
  <si>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</si>
  <si>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</si>
  <si>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</si>
  <si>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</si>
  <si>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</si>
  <si>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</si>
  <si>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</si>
  <si>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</si>
  <si>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</si>
  <si>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</si>
  <si>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</si>
  <si>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</si>
  <si>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</si>
  <si>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</si>
  <si>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</si>
  <si>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</si>
  <si>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</si>
  <si>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</si>
  <si>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</si>
  <si>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</si>
  <si>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</si>
  <si>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</si>
  <si>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</si>
  <si>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</si>
  <si>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</si>
  <si>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</si>
  <si>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</si>
  <si>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</si>
  <si>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</si>
  <si>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</si>
  <si>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</si>
  <si>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</si>
  <si>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</si>
  <si>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</si>
  <si>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</si>
  <si>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</si>
  <si>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</si>
  <si>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</si>
  <si>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</si>
  <si>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</si>
  <si>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</si>
  <si>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</si>
  <si>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</si>
  <si>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</si>
  <si>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</si>
  <si>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</si>
  <si>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</si>
  <si>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</si>
  <si>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</si>
  <si>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</si>
  <si>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</si>
  <si>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</si>
  <si>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</si>
  <si>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</si>
  <si>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</si>
  <si>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podatek dochodowy od osób prawnych</t>
  </si>
  <si>
    <t>podatek dochodowy od osób fizycznych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</si>
  <si>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</si>
  <si>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</si>
  <si>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</si>
  <si>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</si>
  <si>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</si>
  <si>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</si>
  <si>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</si>
  <si>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</si>
  <si>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</si>
  <si>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</si>
  <si>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</si>
  <si>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wpływy z opłaty eksploatacyjnej</t>
  </si>
  <si>
    <t>podatek od spadków i darowizn       </t>
  </si>
  <si>
    <t>wpływy z opłaty targowej</t>
  </si>
  <si>
    <t>opłata miejscowa</t>
  </si>
  <si>
    <t>opłata uzdrowiskowa</t>
  </si>
  <si>
    <t>opłata od posiadania psów</t>
  </si>
  <si>
    <t>opłata reklamowa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</si>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</sst>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8" borderId="0" applyNumberFormat="0" applyBorder="0" applyAlignment="0" applyProtection="0"/>
    <xf numFmtId="0" fontId="38" fillId="0" borderId="0"/>
    <xf numFmtId="0" fontId="38" fillId="0" borderId="0"/>
    <xf numFmtId="0" fontId="1" fillId="4" borderId="8" applyNumberFormat="0" applyFont="0" applyAlignment="0" applyProtection="0"/>
    <xf numFmtId="0" fontId="30" fillId="4" borderId="8" applyNumberFormat="0" applyFont="0" applyAlignment="0" applyProtection="0"/>
    <xf numFmtId="0" fontId="26" fillId="16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43">
    <xf numFmtId="0" fontId="0" fillId="0" borderId="0" xfId="0"/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2" fillId="21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165" fontId="33" fillId="0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Fill="1" applyBorder="1" applyAlignment="1">
      <alignment horizontal="center" vertical="center"/>
    </xf>
    <xf numFmtId="4" fontId="33" fillId="21" borderId="10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65" fontId="33" fillId="20" borderId="10" xfId="0" applyNumberFormat="1" applyFont="1" applyFill="1" applyBorder="1" applyAlignment="1">
      <alignment horizontal="center" vertical="center"/>
    </xf>
    <xf numFmtId="4" fontId="33" fillId="22" borderId="10" xfId="0" applyNumberFormat="1" applyFont="1" applyFill="1" applyBorder="1" applyAlignment="1">
      <alignment horizontal="center" vertical="center"/>
    </xf>
    <xf numFmtId="165" fontId="33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3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35" fillId="21" borderId="10" xfId="0" applyNumberFormat="1" applyFont="1" applyFill="1" applyBorder="1" applyAlignment="1">
      <alignment horizontal="center" vertical="center"/>
    </xf>
    <xf numFmtId="4" fontId="3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165" fontId="35" fillId="0" borderId="10" xfId="0" applyNumberFormat="1" applyFont="1" applyFill="1" applyBorder="1" applyAlignment="1">
      <alignment horizontal="center" vertical="center"/>
    </xf>
    <xf numFmtId="165" fontId="35" fillId="20" borderId="10" xfId="28" applyNumberFormat="1" applyFont="1" applyFill="1" applyBorder="1" applyAlignment="1">
      <alignment horizontal="center" vertical="center"/>
    </xf>
    <xf numFmtId="165" fontId="35" fillId="22" borderId="10" xfId="28" applyNumberFormat="1" applyFont="1" applyFill="1" applyBorder="1" applyAlignment="1">
      <alignment horizontal="center" vertical="center"/>
    </xf>
    <xf numFmtId="165" fontId="35" fillId="22" borderId="10" xfId="0" applyNumberFormat="1" applyFont="1" applyFill="1" applyBorder="1" applyAlignment="1">
      <alignment horizontal="center" vertical="center"/>
    </xf>
    <xf numFmtId="165" fontId="35" fillId="0" borderId="10" xfId="28" applyNumberFormat="1" applyFont="1" applyFill="1" applyBorder="1" applyAlignment="1">
      <alignment horizontal="center" vertical="center"/>
    </xf>
    <xf numFmtId="165" fontId="35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2" fillId="0" borderId="0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 wrapText="1"/>
    </xf>
    <xf numFmtId="3" fontId="32" fillId="0" borderId="14" xfId="0" applyNumberFormat="1" applyFont="1" applyBorder="1" applyAlignment="1">
      <alignment horizontal="center" vertical="center"/>
    </xf>
    <xf numFmtId="165" fontId="34" fillId="0" borderId="14" xfId="0" applyNumberFormat="1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2" fillId="0" borderId="12" xfId="0" applyNumberFormat="1" applyFont="1" applyFill="1" applyBorder="1" applyAlignment="1">
      <alignment horizontal="center" vertical="center" wrapText="1"/>
    </xf>
    <xf numFmtId="165" fontId="35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9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2" fillId="21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4" fontId="35" fillId="21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 wrapText="1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0" borderId="13" xfId="0" applyNumberFormat="1" applyFont="1" applyFill="1" applyBorder="1" applyAlignment="1">
      <alignment horizontal="right" vertical="center" wrapText="1"/>
    </xf>
    <xf numFmtId="4" fontId="33" fillId="21" borderId="15" xfId="0" applyNumberFormat="1" applyFont="1" applyFill="1" applyBorder="1" applyAlignment="1">
      <alignment horizontal="right" vertical="center" wrapText="1"/>
    </xf>
    <xf numFmtId="4" fontId="33" fillId="21" borderId="11" xfId="0" applyNumberFormat="1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4" fontId="35" fillId="20" borderId="13" xfId="0" applyNumberFormat="1" applyFont="1" applyFill="1" applyBorder="1" applyAlignment="1">
      <alignment horizontal="right" vertical="center"/>
    </xf>
    <xf numFmtId="4" fontId="34" fillId="0" borderId="13" xfId="0" applyNumberFormat="1" applyFont="1" applyBorder="1" applyAlignment="1">
      <alignment horizontal="right" vertical="center"/>
    </xf>
    <xf numFmtId="4" fontId="34" fillId="0" borderId="13" xfId="0" applyNumberFormat="1" applyFont="1" applyFill="1" applyBorder="1" applyAlignment="1">
      <alignment horizontal="right" vertical="center"/>
    </xf>
    <xf numFmtId="4" fontId="35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31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9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40" fillId="0" borderId="0" xfId="0" applyFont="1"/>
    <xf numFmtId="0" fontId="40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9" fillId="0" borderId="10" xfId="46" applyFont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3" fontId="36" fillId="0" borderId="10" xfId="0" applyNumberFormat="1" applyFont="1" applyBorder="1" applyAlignment="1">
      <alignment vertical="center" wrapText="1"/>
    </xf>
    <xf numFmtId="0" fontId="6" fillId="0" borderId="0" xfId="0" applyFont="1"/>
    <xf numFmtId="0" fontId="36" fillId="0" borderId="10" xfId="0" applyFont="1" applyBorder="1" applyAlignment="1">
      <alignment horizontal="right" vertical="center" wrapText="1"/>
    </xf>
    <xf numFmtId="167" fontId="36" fillId="0" borderId="10" xfId="0" applyNumberFormat="1" applyFont="1" applyBorder="1" applyAlignment="1">
      <alignment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  <xf numFmtId="0" fontId="4" fillId="19" borderId="13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12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Dziesiętny 3 3" xfId="32" xr:uid="{00000000-0005-0000-0000-00001F000000}"/>
    <cellStyle name="Dziesiętny 3 4" xfId="33" xr:uid="{00000000-0005-0000-0000-000020000000}"/>
    <cellStyle name="Dziesiętny 4" xfId="34" xr:uid="{00000000-0005-0000-0000-000021000000}"/>
    <cellStyle name="Dziesiętny 5" xfId="35" xr:uid="{00000000-0005-0000-0000-000022000000}"/>
    <cellStyle name="Explanatory Text" xfId="36" xr:uid="{00000000-0005-0000-0000-000023000000}"/>
    <cellStyle name="Good" xfId="37" xr:uid="{00000000-0005-0000-0000-000024000000}"/>
    <cellStyle name="Heading 1" xfId="38" xr:uid="{00000000-0005-0000-0000-000025000000}"/>
    <cellStyle name="Heading 2" xfId="39" xr:uid="{00000000-0005-0000-0000-000026000000}"/>
    <cellStyle name="Heading 3" xfId="40" xr:uid="{00000000-0005-0000-0000-000027000000}"/>
    <cellStyle name="Heading 4" xfId="41" xr:uid="{00000000-0005-0000-0000-000028000000}"/>
    <cellStyle name="Input" xfId="42" xr:uid="{00000000-0005-0000-0000-000029000000}"/>
    <cellStyle name="Linked Cell" xfId="43" xr:uid="{00000000-0005-0000-0000-00002A000000}"/>
    <cellStyle name="Neutral" xfId="44" xr:uid="{00000000-0005-0000-0000-00002B000000}"/>
    <cellStyle name="Normalny" xfId="0" builtinId="0"/>
    <cellStyle name="Normalny 2" xfId="45" xr:uid="{00000000-0005-0000-0000-00002D000000}"/>
    <cellStyle name="Normalny 2 2" xfId="46" xr:uid="{00000000-0005-0000-0000-00002E000000}"/>
    <cellStyle name="Note" xfId="47" xr:uid="{00000000-0005-0000-0000-00002F000000}"/>
    <cellStyle name="Note 2" xfId="48" xr:uid="{00000000-0005-0000-0000-000030000000}"/>
    <cellStyle name="Output" xfId="49" xr:uid="{00000000-0005-0000-0000-000031000000}"/>
    <cellStyle name="Title" xfId="50" xr:uid="{00000000-0005-0000-0000-000032000000}"/>
    <cellStyle name="Total" xfId="51" xr:uid="{00000000-0005-0000-0000-000033000000}"/>
    <cellStyle name="Warning Text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48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3" width="14.5703125" style="15" customWidth="1"/>
    <col min="4" max="4" width="15" style="15" customWidth="1"/>
    <col min="5" max="5" width="14.5703125" style="15" customWidth="1" outlineLevel="1"/>
    <col min="6" max="6" width="15" style="15" customWidth="1" outlineLevel="1"/>
    <col min="7" max="7" width="13" style="15" customWidth="1" outlineLevel="1"/>
    <col min="8" max="9" width="12.28515625" style="15" customWidth="1" outlineLevel="1"/>
    <col min="10" max="10" width="7.7109375" style="15" bestFit="1" customWidth="1"/>
    <col min="11" max="11" width="7.5703125" style="15" bestFit="1" customWidth="1"/>
    <col min="12" max="12" width="8.42578125" style="15" bestFit="1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",$D$145," ",$C$146," rok    ",$C$148,"")</f>
        <v xml:space="preserve">Informacja z wykonania budżetów miast na prawach powiatu za I Kwartał 2025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35" t="s">
        <v>0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6" t="s">
        <v>2</v>
      </c>
      <c r="K2" s="5" t="s">
        <v>16</v>
      </c>
      <c r="L2" s="5" t="s">
        <v>3</v>
      </c>
    </row>
    <row r="3" spans="2:13" x14ac:dyDescent="0.2">
      <c r="B3" s="135"/>
      <c r="C3" s="128" t="s">
        <v>61</v>
      </c>
      <c r="D3" s="129"/>
      <c r="E3" s="129"/>
      <c r="F3" s="129"/>
      <c r="G3" s="129"/>
      <c r="H3" s="129"/>
      <c r="I3" s="130"/>
      <c r="J3" s="125" t="s">
        <v>4</v>
      </c>
      <c r="K3" s="125"/>
      <c r="L3" s="125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144098752548.04</f>
        <v>144098752548.04001</v>
      </c>
      <c r="D5" s="67">
        <f>45902116336.64</f>
        <v>45902116336.639999</v>
      </c>
      <c r="E5" s="67">
        <f>242500440.93</f>
        <v>242500440.93000001</v>
      </c>
      <c r="F5" s="67">
        <f>37739313.82</f>
        <v>37739313.82</v>
      </c>
      <c r="G5" s="67">
        <f>6503401.97</f>
        <v>6503401.9699999997</v>
      </c>
      <c r="H5" s="67">
        <f>23567314.77</f>
        <v>23567314.77</v>
      </c>
      <c r="I5" s="67">
        <f>58477.13</f>
        <v>58477.13</v>
      </c>
      <c r="J5" s="16">
        <f t="shared" ref="J5:J69" si="0">IF($D$5=0,"",100*$D5/$D$5)</f>
        <v>100</v>
      </c>
      <c r="K5" s="16">
        <f t="shared" ref="K5:K51" si="1">IF(C5=0,"",100*D5/C5)</f>
        <v>31.854624363480895</v>
      </c>
      <c r="L5" s="16"/>
    </row>
    <row r="6" spans="2:13" ht="25.5" customHeight="1" x14ac:dyDescent="0.2">
      <c r="B6" s="88" t="s">
        <v>45</v>
      </c>
      <c r="C6" s="67">
        <f>C5-C25-C62</f>
        <v>118415001400.19</v>
      </c>
      <c r="D6" s="67">
        <f>D5-D25-D62</f>
        <v>39746037575.910004</v>
      </c>
      <c r="E6" s="67">
        <f>E5</f>
        <v>242500440.93000001</v>
      </c>
      <c r="F6" s="67">
        <f>F5</f>
        <v>37739313.82</v>
      </c>
      <c r="G6" s="67">
        <f>G5</f>
        <v>6503401.9699999997</v>
      </c>
      <c r="H6" s="67">
        <f>H5</f>
        <v>23567314.77</v>
      </c>
      <c r="I6" s="67">
        <f>I5</f>
        <v>58477.13</v>
      </c>
      <c r="J6" s="16">
        <f t="shared" si="0"/>
        <v>86.588682065153307</v>
      </c>
      <c r="K6" s="16">
        <f t="shared" si="1"/>
        <v>33.56503576906281</v>
      </c>
      <c r="L6" s="16">
        <f t="shared" ref="L6:L24" si="2">IF($D$6=0,"",100*$D6/$D$6)</f>
        <v>100</v>
      </c>
    </row>
    <row r="7" spans="2:13" ht="22.5" outlineLevel="1" x14ac:dyDescent="0.2">
      <c r="B7" s="89" t="s">
        <v>106</v>
      </c>
      <c r="C7" s="68">
        <f>65631664064.37</f>
        <v>65631664064.370003</v>
      </c>
      <c r="D7" s="68">
        <f>25242947550</f>
        <v>25242947550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54.992992839091755</v>
      </c>
      <c r="K7" s="18">
        <f t="shared" si="1"/>
        <v>38.461538206988486</v>
      </c>
      <c r="L7" s="18">
        <f t="shared" si="2"/>
        <v>63.51060153301848</v>
      </c>
    </row>
    <row r="8" spans="2:13" ht="22.5" outlineLevel="1" x14ac:dyDescent="0.2">
      <c r="B8" s="10" t="s">
        <v>105</v>
      </c>
      <c r="C8" s="69">
        <f>9030041099.07</f>
        <v>9030041099.0699997</v>
      </c>
      <c r="D8" s="69">
        <f>2257510170</f>
        <v>2257510170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4.9180960490878496</v>
      </c>
      <c r="K8" s="18">
        <f t="shared" si="1"/>
        <v>24.999998839789335</v>
      </c>
      <c r="L8" s="18">
        <f t="shared" si="2"/>
        <v>5.6798370546710109</v>
      </c>
    </row>
    <row r="9" spans="2:13" ht="13.35" customHeight="1" outlineLevel="1" x14ac:dyDescent="0.2">
      <c r="B9" s="10" t="s">
        <v>113</v>
      </c>
      <c r="C9" s="69">
        <f>13682215145.44</f>
        <v>13682215145.440001</v>
      </c>
      <c r="D9" s="69">
        <f>3995139937.8</f>
        <v>3995139937.8000002</v>
      </c>
      <c r="E9" s="69">
        <f>63880816.38</f>
        <v>63880816.380000003</v>
      </c>
      <c r="F9" s="69">
        <f>37263985.92</f>
        <v>37263985.920000002</v>
      </c>
      <c r="G9" s="69">
        <f>5264981.06</f>
        <v>5264981.0599999996</v>
      </c>
      <c r="H9" s="69">
        <f>17657742.55</f>
        <v>17657742.550000001</v>
      </c>
      <c r="I9" s="69">
        <f>53053.78</f>
        <v>53053.78</v>
      </c>
      <c r="J9" s="18">
        <f t="shared" si="0"/>
        <v>8.7036072770592465</v>
      </c>
      <c r="K9" s="18">
        <f t="shared" si="1"/>
        <v>29.199511156141245</v>
      </c>
      <c r="L9" s="18">
        <f t="shared" si="2"/>
        <v>10.051668496940803</v>
      </c>
    </row>
    <row r="10" spans="2:13" ht="13.35" customHeight="1" outlineLevel="1" x14ac:dyDescent="0.2">
      <c r="B10" s="10" t="s">
        <v>114</v>
      </c>
      <c r="C10" s="69">
        <f>32210880</f>
        <v>32210880</v>
      </c>
      <c r="D10" s="70">
        <f>17337041.61</f>
        <v>17337041.609999999</v>
      </c>
      <c r="E10" s="69">
        <f>169189.52</f>
        <v>169189.52</v>
      </c>
      <c r="F10" s="69">
        <f>3075.77</f>
        <v>3075.77</v>
      </c>
      <c r="G10" s="69">
        <f>5998.78</f>
        <v>5998.78</v>
      </c>
      <c r="H10" s="69">
        <f>30616.01</f>
        <v>30616.01</v>
      </c>
      <c r="I10" s="69">
        <f>84.56</f>
        <v>84.56</v>
      </c>
      <c r="J10" s="18">
        <f t="shared" si="0"/>
        <v>3.7769591020275509E-2</v>
      </c>
      <c r="K10" s="18">
        <f t="shared" si="1"/>
        <v>53.823557785443924</v>
      </c>
      <c r="L10" s="18">
        <f t="shared" si="2"/>
        <v>4.3619547173446911E-2</v>
      </c>
    </row>
    <row r="11" spans="2:13" ht="13.35" customHeight="1" outlineLevel="1" x14ac:dyDescent="0.2">
      <c r="B11" s="10" t="s">
        <v>115</v>
      </c>
      <c r="C11" s="69">
        <f>7289879</f>
        <v>7289879</v>
      </c>
      <c r="D11" s="70">
        <f>2185383.6</f>
        <v>2185383.6</v>
      </c>
      <c r="E11" s="69">
        <f>0</f>
        <v>0</v>
      </c>
      <c r="F11" s="69">
        <f>9241.8</f>
        <v>9241.7999999999993</v>
      </c>
      <c r="G11" s="69">
        <f>119.21</f>
        <v>119.21</v>
      </c>
      <c r="H11" s="69">
        <f>70.85</f>
        <v>70.849999999999994</v>
      </c>
      <c r="I11" s="69">
        <f>1.6</f>
        <v>1.6</v>
      </c>
      <c r="J11" s="18">
        <f t="shared" si="0"/>
        <v>4.7609647972931971E-3</v>
      </c>
      <c r="K11" s="18">
        <f t="shared" si="1"/>
        <v>29.978324743113021</v>
      </c>
      <c r="L11" s="18">
        <f t="shared" si="2"/>
        <v>5.4983684746591115E-3</v>
      </c>
    </row>
    <row r="12" spans="2:13" ht="13.35" customHeight="1" outlineLevel="1" x14ac:dyDescent="0.2">
      <c r="B12" s="10" t="s">
        <v>17</v>
      </c>
      <c r="C12" s="69">
        <f>418649335</f>
        <v>418649335</v>
      </c>
      <c r="D12" s="70">
        <f>190251162.5</f>
        <v>190251162.5</v>
      </c>
      <c r="E12" s="69">
        <f>178390780.94</f>
        <v>178390780.94</v>
      </c>
      <c r="F12" s="69">
        <f>463010.33</f>
        <v>463010.33</v>
      </c>
      <c r="G12" s="69">
        <f>34302.77</f>
        <v>34302.769999999997</v>
      </c>
      <c r="H12" s="69">
        <f>1015655.1</f>
        <v>1015655.1</v>
      </c>
      <c r="I12" s="69">
        <f>0</f>
        <v>0</v>
      </c>
      <c r="J12" s="18">
        <f t="shared" si="0"/>
        <v>0.41447143984543838</v>
      </c>
      <c r="K12" s="18">
        <f t="shared" si="1"/>
        <v>45.44403790824127</v>
      </c>
      <c r="L12" s="18">
        <f t="shared" si="2"/>
        <v>0.47866699199044399</v>
      </c>
    </row>
    <row r="13" spans="2:13" ht="22.5" outlineLevel="1" x14ac:dyDescent="0.2">
      <c r="B13" s="10" t="s">
        <v>22</v>
      </c>
      <c r="C13" s="69">
        <f>1968770120.54</f>
        <v>1968770120.54</v>
      </c>
      <c r="D13" s="70">
        <f>499522148.95</f>
        <v>499522148.94999999</v>
      </c>
      <c r="E13" s="69">
        <f>0</f>
        <v>0</v>
      </c>
      <c r="F13" s="69">
        <f>0</f>
        <v>0</v>
      </c>
      <c r="G13" s="69">
        <f>17781</f>
        <v>17781</v>
      </c>
      <c r="H13" s="69">
        <f>38050</f>
        <v>38050</v>
      </c>
      <c r="I13" s="69">
        <f>0</f>
        <v>0</v>
      </c>
      <c r="J13" s="18">
        <f t="shared" si="0"/>
        <v>1.0882333731337597</v>
      </c>
      <c r="K13" s="18">
        <f t="shared" si="1"/>
        <v>25.372294293708077</v>
      </c>
      <c r="L13" s="18">
        <f t="shared" si="2"/>
        <v>1.2567847750759422</v>
      </c>
    </row>
    <row r="14" spans="2:13" ht="33.75" outlineLevel="1" x14ac:dyDescent="0.2">
      <c r="B14" s="10" t="s">
        <v>116</v>
      </c>
      <c r="C14" s="69">
        <f>92241710</f>
        <v>92241710</v>
      </c>
      <c r="D14" s="70">
        <f>12284165.57</f>
        <v>12284165.57</v>
      </c>
      <c r="E14" s="69">
        <f>0</f>
        <v>0</v>
      </c>
      <c r="F14" s="69">
        <f>0</f>
        <v>0</v>
      </c>
      <c r="G14" s="69">
        <f>0</f>
        <v>0</v>
      </c>
      <c r="H14" s="69">
        <f>109981.18</f>
        <v>109981.18</v>
      </c>
      <c r="I14" s="69">
        <f>0</f>
        <v>0</v>
      </c>
      <c r="J14" s="18">
        <f t="shared" si="0"/>
        <v>2.67616540377127E-2</v>
      </c>
      <c r="K14" s="18">
        <f t="shared" si="1"/>
        <v>13.317365397931153</v>
      </c>
      <c r="L14" s="18">
        <f t="shared" si="2"/>
        <v>3.0906642068504984E-2</v>
      </c>
    </row>
    <row r="15" spans="2:13" ht="13.35" customHeight="1" outlineLevel="1" x14ac:dyDescent="0.2">
      <c r="B15" s="10" t="s">
        <v>117</v>
      </c>
      <c r="C15" s="69">
        <f>472109894</f>
        <v>472109894</v>
      </c>
      <c r="D15" s="70">
        <f>113856752.71</f>
        <v>113856752.70999999</v>
      </c>
      <c r="E15" s="69">
        <f>0</f>
        <v>0</v>
      </c>
      <c r="F15" s="69">
        <f>0</f>
        <v>0</v>
      </c>
      <c r="G15" s="69">
        <f>335</f>
        <v>335</v>
      </c>
      <c r="H15" s="69">
        <f>111</f>
        <v>111</v>
      </c>
      <c r="I15" s="69">
        <f>0</f>
        <v>0</v>
      </c>
      <c r="J15" s="18">
        <f t="shared" si="0"/>
        <v>0.24804249084070495</v>
      </c>
      <c r="K15" s="18">
        <f t="shared" si="1"/>
        <v>24.116578397740589</v>
      </c>
      <c r="L15" s="18">
        <f t="shared" si="2"/>
        <v>0.28646063772406927</v>
      </c>
    </row>
    <row r="16" spans="2:13" ht="13.35" customHeight="1" outlineLevel="1" x14ac:dyDescent="0.2">
      <c r="B16" s="10" t="s">
        <v>118</v>
      </c>
      <c r="C16" s="69">
        <f>10374504</f>
        <v>10374504</v>
      </c>
      <c r="D16" s="70">
        <f>5230273.7</f>
        <v>5230273.7</v>
      </c>
      <c r="E16" s="69">
        <f>0</f>
        <v>0</v>
      </c>
      <c r="F16" s="69">
        <f>0</f>
        <v>0</v>
      </c>
      <c r="G16" s="69">
        <f>0</f>
        <v>0</v>
      </c>
      <c r="H16" s="69">
        <f>0</f>
        <v>0</v>
      </c>
      <c r="I16" s="69">
        <f>0</f>
        <v>0</v>
      </c>
      <c r="J16" s="18">
        <f t="shared" si="0"/>
        <v>1.1394406440090626E-2</v>
      </c>
      <c r="K16" s="18">
        <f t="shared" si="1"/>
        <v>50.414686812979205</v>
      </c>
      <c r="L16" s="18">
        <f t="shared" si="2"/>
        <v>1.3159233017909838E-2</v>
      </c>
    </row>
    <row r="17" spans="2:12" ht="13.35" customHeight="1" outlineLevel="1" x14ac:dyDescent="0.2">
      <c r="B17" s="10" t="s">
        <v>119</v>
      </c>
      <c r="C17" s="69">
        <f>315424610</f>
        <v>315424610</v>
      </c>
      <c r="D17" s="70">
        <f>87003914.18</f>
        <v>87003914.180000007</v>
      </c>
      <c r="E17" s="69">
        <f>0</f>
        <v>0</v>
      </c>
      <c r="F17" s="69">
        <f>0</f>
        <v>0</v>
      </c>
      <c r="G17" s="69">
        <f>251891.5</f>
        <v>251891.5</v>
      </c>
      <c r="H17" s="69">
        <f>2209317.59</f>
        <v>2209317.59</v>
      </c>
      <c r="I17" s="69">
        <f>0</f>
        <v>0</v>
      </c>
      <c r="J17" s="18">
        <f t="shared" si="0"/>
        <v>0.18954227195522946</v>
      </c>
      <c r="K17" s="18">
        <f t="shared" si="1"/>
        <v>27.583109060513699</v>
      </c>
      <c r="L17" s="18">
        <f t="shared" si="2"/>
        <v>0.21889959222685609</v>
      </c>
    </row>
    <row r="18" spans="2:12" ht="13.35" customHeight="1" outlineLevel="1" x14ac:dyDescent="0.2">
      <c r="B18" s="10" t="s">
        <v>120</v>
      </c>
      <c r="C18" s="69">
        <f>12927050</f>
        <v>12927050</v>
      </c>
      <c r="D18" s="70">
        <f>2134530.67</f>
        <v>2134530.67</v>
      </c>
      <c r="E18" s="69">
        <f>0</f>
        <v>0</v>
      </c>
      <c r="F18" s="69">
        <f>0</f>
        <v>0</v>
      </c>
      <c r="G18" s="69">
        <f>0</f>
        <v>0</v>
      </c>
      <c r="H18" s="69">
        <f>0</f>
        <v>0</v>
      </c>
      <c r="I18" s="69">
        <f>0</f>
        <v>0</v>
      </c>
      <c r="J18" s="18">
        <f t="shared" si="0"/>
        <v>4.6501792081777597E-3</v>
      </c>
      <c r="K18" s="18">
        <f>IF(C18=0,"",100*D18/C18)</f>
        <v>16.512125117486203</v>
      </c>
      <c r="L18" s="18">
        <f t="shared" si="2"/>
        <v>5.3704238213012076E-3</v>
      </c>
    </row>
    <row r="19" spans="2:12" ht="13.35" customHeight="1" outlineLevel="1" x14ac:dyDescent="0.2">
      <c r="B19" s="10" t="s">
        <v>121</v>
      </c>
      <c r="C19" s="69">
        <f>5820000</f>
        <v>5820000</v>
      </c>
      <c r="D19" s="70">
        <f>1382885.15</f>
        <v>1382885.15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3.0126827701322193E-3</v>
      </c>
      <c r="K19" s="18">
        <f>IF(C19=0,"",100*D19/C19)</f>
        <v>23.760913230240551</v>
      </c>
      <c r="L19" s="18">
        <f t="shared" si="2"/>
        <v>3.4793031817545606E-3</v>
      </c>
    </row>
    <row r="20" spans="2:12" ht="13.35" customHeight="1" outlineLevel="1" x14ac:dyDescent="0.2">
      <c r="B20" s="10" t="s">
        <v>122</v>
      </c>
      <c r="C20" s="69">
        <f>25000000</f>
        <v>25000000</v>
      </c>
      <c r="D20" s="70">
        <f>3886038.18</f>
        <v>3886038.18</v>
      </c>
      <c r="E20" s="69">
        <f>0</f>
        <v>0</v>
      </c>
      <c r="F20" s="69">
        <f>0</f>
        <v>0</v>
      </c>
      <c r="G20" s="69">
        <f>0</f>
        <v>0</v>
      </c>
      <c r="H20" s="69">
        <f>0</f>
        <v>0</v>
      </c>
      <c r="I20" s="69">
        <f>0</f>
        <v>0</v>
      </c>
      <c r="J20" s="18">
        <f t="shared" si="0"/>
        <v>8.4659237746258029E-3</v>
      </c>
      <c r="K20" s="18">
        <f>IF(C20=0,"",100*D20/C20)</f>
        <v>15.54415272</v>
      </c>
      <c r="L20" s="18">
        <f t="shared" si="2"/>
        <v>9.7771713031221015E-3</v>
      </c>
    </row>
    <row r="21" spans="2:12" ht="13.35" customHeight="1" outlineLevel="1" x14ac:dyDescent="0.2">
      <c r="B21" s="10" t="s">
        <v>123</v>
      </c>
      <c r="C21" s="69">
        <f>567480</f>
        <v>567480</v>
      </c>
      <c r="D21" s="70">
        <f>300055.97</f>
        <v>300055.96999999997</v>
      </c>
      <c r="E21" s="69">
        <f>59654.09</f>
        <v>59654.09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6.5368657035207156E-4</v>
      </c>
      <c r="K21" s="18">
        <f>IF(C21=0,"",100*D21/C21)</f>
        <v>52.875162120250927</v>
      </c>
      <c r="L21" s="18">
        <f t="shared" si="2"/>
        <v>7.5493304062557241E-4</v>
      </c>
    </row>
    <row r="22" spans="2:12" ht="13.35" customHeight="1" outlineLevel="1" x14ac:dyDescent="0.2">
      <c r="B22" s="10" t="s">
        <v>124</v>
      </c>
      <c r="C22" s="69">
        <f>650000</f>
        <v>650000</v>
      </c>
      <c r="D22" s="70">
        <f>356312.96</f>
        <v>356312.96</v>
      </c>
      <c r="E22" s="69">
        <f>0</f>
        <v>0</v>
      </c>
      <c r="F22" s="69">
        <f>0</f>
        <v>0</v>
      </c>
      <c r="G22" s="69">
        <f>0</f>
        <v>0</v>
      </c>
      <c r="H22" s="69">
        <f>0</f>
        <v>0</v>
      </c>
      <c r="I22" s="69">
        <f>0</f>
        <v>0</v>
      </c>
      <c r="J22" s="18">
        <f t="shared" si="0"/>
        <v>7.7624516784116941E-4</v>
      </c>
      <c r="K22" s="18">
        <f>IF(C22=0,"",100*D22/C22)</f>
        <v>54.81737846153846</v>
      </c>
      <c r="L22" s="18">
        <f t="shared" si="2"/>
        <v>8.9647416882622933E-4</v>
      </c>
    </row>
    <row r="23" spans="2:12" ht="13.35" customHeight="1" outlineLevel="1" x14ac:dyDescent="0.2">
      <c r="B23" s="10" t="s">
        <v>18</v>
      </c>
      <c r="C23" s="69">
        <f>5649566813.11</f>
        <v>5649566813.1099997</v>
      </c>
      <c r="D23" s="70">
        <f>1298292530.83</f>
        <v>1298292530.8299999</v>
      </c>
      <c r="E23" s="69">
        <f>0</f>
        <v>0</v>
      </c>
      <c r="F23" s="69">
        <f>0</f>
        <v>0</v>
      </c>
      <c r="G23" s="69">
        <f>0</f>
        <v>0</v>
      </c>
      <c r="H23" s="69">
        <f>0</f>
        <v>0</v>
      </c>
      <c r="I23" s="69">
        <f>0</f>
        <v>0</v>
      </c>
      <c r="J23" s="18">
        <f t="shared" si="0"/>
        <v>2.8283936220031682</v>
      </c>
      <c r="K23" s="18">
        <f t="shared" si="1"/>
        <v>22.980390776462205</v>
      </c>
      <c r="L23" s="18">
        <f t="shared" si="2"/>
        <v>3.2664703452524599</v>
      </c>
    </row>
    <row r="24" spans="2:12" ht="13.35" customHeight="1" outlineLevel="1" x14ac:dyDescent="0.2">
      <c r="B24" s="10" t="s">
        <v>19</v>
      </c>
      <c r="C24" s="69">
        <f t="shared" ref="C24:I24" si="3">C6-SUM(C7:C23)</f>
        <v>21059478815.660004</v>
      </c>
      <c r="D24" s="69">
        <f t="shared" si="3"/>
        <v>6016416721.5300064</v>
      </c>
      <c r="E24" s="69">
        <f t="shared" si="3"/>
        <v>0</v>
      </c>
      <c r="F24" s="69">
        <f t="shared" si="3"/>
        <v>0</v>
      </c>
      <c r="G24" s="69">
        <f t="shared" si="3"/>
        <v>927992.65000000037</v>
      </c>
      <c r="H24" s="69">
        <f t="shared" si="3"/>
        <v>2505770.4899999946</v>
      </c>
      <c r="I24" s="69">
        <f t="shared" si="3"/>
        <v>5337.1900000000023</v>
      </c>
      <c r="J24" s="18">
        <f t="shared" si="0"/>
        <v>13.107057368349659</v>
      </c>
      <c r="K24" s="18">
        <f t="shared" si="1"/>
        <v>28.568687640342496</v>
      </c>
      <c r="L24" s="18">
        <f t="shared" si="2"/>
        <v>15.13714847684979</v>
      </c>
    </row>
    <row r="25" spans="2:12" ht="26.25" customHeight="1" x14ac:dyDescent="0.2">
      <c r="B25" s="88" t="s">
        <v>89</v>
      </c>
      <c r="C25" s="67">
        <f>C26+C58+C60</f>
        <v>17641378860.760002</v>
      </c>
      <c r="D25" s="67">
        <f>D26+D58+D60</f>
        <v>4085700876.7099996</v>
      </c>
      <c r="E25" s="20" t="s">
        <v>44</v>
      </c>
      <c r="F25" s="20" t="s">
        <v>44</v>
      </c>
      <c r="G25" s="20" t="s">
        <v>44</v>
      </c>
      <c r="H25" s="20" t="s">
        <v>44</v>
      </c>
      <c r="I25" s="20" t="s">
        <v>44</v>
      </c>
      <c r="J25" s="16">
        <f t="shared" si="0"/>
        <v>8.9008987009357341</v>
      </c>
      <c r="K25" s="16">
        <f t="shared" si="1"/>
        <v>23.159759273680631</v>
      </c>
      <c r="L25" s="21"/>
    </row>
    <row r="26" spans="2:12" ht="25.5" customHeight="1" outlineLevel="1" x14ac:dyDescent="0.2">
      <c r="B26" s="90" t="s">
        <v>46</v>
      </c>
      <c r="C26" s="67">
        <f>C27+C34+C41</f>
        <v>13767136129.220001</v>
      </c>
      <c r="D26" s="67">
        <f>D27+D34+D41</f>
        <v>3785499843.1199999</v>
      </c>
      <c r="E26" s="20" t="s">
        <v>44</v>
      </c>
      <c r="F26" s="20" t="s">
        <v>44</v>
      </c>
      <c r="G26" s="20" t="s">
        <v>44</v>
      </c>
      <c r="H26" s="20" t="s">
        <v>44</v>
      </c>
      <c r="I26" s="20" t="s">
        <v>44</v>
      </c>
      <c r="J26" s="16">
        <f t="shared" si="0"/>
        <v>8.2468961024752083</v>
      </c>
      <c r="K26" s="16">
        <f t="shared" si="1"/>
        <v>27.49663987912113</v>
      </c>
      <c r="L26" s="22"/>
    </row>
    <row r="27" spans="2:12" ht="13.5" customHeight="1" outlineLevel="1" x14ac:dyDescent="0.2">
      <c r="B27" s="91" t="s">
        <v>41</v>
      </c>
      <c r="C27" s="67">
        <f>C28+C30+C32</f>
        <v>5748839765.3300009</v>
      </c>
      <c r="D27" s="67">
        <f>D28+D30+D32</f>
        <v>1736609758.0899999</v>
      </c>
      <c r="E27" s="20" t="s">
        <v>44</v>
      </c>
      <c r="F27" s="20" t="s">
        <v>44</v>
      </c>
      <c r="G27" s="20" t="s">
        <v>44</v>
      </c>
      <c r="H27" s="20" t="s">
        <v>44</v>
      </c>
      <c r="I27" s="20" t="s">
        <v>44</v>
      </c>
      <c r="J27" s="16">
        <f t="shared" si="0"/>
        <v>3.7832890870519686</v>
      </c>
      <c r="K27" s="16">
        <f t="shared" si="1"/>
        <v>30.208004205702771</v>
      </c>
      <c r="L27" s="22"/>
    </row>
    <row r="28" spans="2:12" ht="22.5" customHeight="1" outlineLevel="1" x14ac:dyDescent="0.2">
      <c r="B28" s="93" t="s">
        <v>92</v>
      </c>
      <c r="C28" s="68">
        <f>4192509569.04</f>
        <v>4192509569.04</v>
      </c>
      <c r="D28" s="71">
        <f>1386326935.55</f>
        <v>1386326935.55</v>
      </c>
      <c r="E28" s="17" t="s">
        <v>44</v>
      </c>
      <c r="F28" s="17" t="s">
        <v>44</v>
      </c>
      <c r="G28" s="17" t="s">
        <v>44</v>
      </c>
      <c r="H28" s="17" t="s">
        <v>44</v>
      </c>
      <c r="I28" s="17" t="s">
        <v>44</v>
      </c>
      <c r="J28" s="18">
        <f t="shared" si="0"/>
        <v>3.0201808678773396</v>
      </c>
      <c r="K28" s="18">
        <f t="shared" si="1"/>
        <v>33.066756622035349</v>
      </c>
      <c r="L28" s="22"/>
    </row>
    <row r="29" spans="2:12" ht="12.95" customHeight="1" outlineLevel="1" x14ac:dyDescent="0.2">
      <c r="B29" s="95" t="s">
        <v>6</v>
      </c>
      <c r="C29" s="69">
        <f>0</f>
        <v>0</v>
      </c>
      <c r="D29" s="69">
        <f>0</f>
        <v>0</v>
      </c>
      <c r="E29" s="19" t="s">
        <v>44</v>
      </c>
      <c r="F29" s="19" t="s">
        <v>44</v>
      </c>
      <c r="G29" s="19" t="s">
        <v>44</v>
      </c>
      <c r="H29" s="19" t="s">
        <v>44</v>
      </c>
      <c r="I29" s="19" t="s">
        <v>44</v>
      </c>
      <c r="J29" s="18">
        <f t="shared" si="0"/>
        <v>0</v>
      </c>
      <c r="K29" s="18" t="str">
        <f t="shared" si="1"/>
        <v/>
      </c>
      <c r="L29" s="22"/>
    </row>
    <row r="30" spans="2:12" ht="13.5" customHeight="1" outlineLevel="1" x14ac:dyDescent="0.2">
      <c r="B30" s="93" t="s">
        <v>93</v>
      </c>
      <c r="C30" s="69">
        <f>1529047223.4</f>
        <v>1529047223.4000001</v>
      </c>
      <c r="D30" s="70">
        <f>344569913.38</f>
        <v>344569913.38</v>
      </c>
      <c r="E30" s="19" t="s">
        <v>44</v>
      </c>
      <c r="F30" s="19" t="s">
        <v>44</v>
      </c>
      <c r="G30" s="19" t="s">
        <v>44</v>
      </c>
      <c r="H30" s="19" t="s">
        <v>44</v>
      </c>
      <c r="I30" s="19" t="s">
        <v>44</v>
      </c>
      <c r="J30" s="18">
        <f t="shared" si="0"/>
        <v>0.75066236783718254</v>
      </c>
      <c r="K30" s="18">
        <f t="shared" si="1"/>
        <v>22.53494255159837</v>
      </c>
      <c r="L30" s="22"/>
    </row>
    <row r="31" spans="2:12" ht="12.95" customHeight="1" outlineLevel="1" x14ac:dyDescent="0.2">
      <c r="B31" s="95" t="s">
        <v>6</v>
      </c>
      <c r="C31" s="69">
        <f>148530317</f>
        <v>148530317</v>
      </c>
      <c r="D31" s="69">
        <f>5590526.01</f>
        <v>5590526.0099999998</v>
      </c>
      <c r="E31" s="19" t="s">
        <v>44</v>
      </c>
      <c r="F31" s="19" t="s">
        <v>44</v>
      </c>
      <c r="G31" s="19" t="s">
        <v>44</v>
      </c>
      <c r="H31" s="19" t="s">
        <v>44</v>
      </c>
      <c r="I31" s="19" t="s">
        <v>44</v>
      </c>
      <c r="J31" s="18">
        <f t="shared" si="0"/>
        <v>1.2179233674107372E-2</v>
      </c>
      <c r="K31" s="18">
        <f t="shared" si="1"/>
        <v>3.763895562143047</v>
      </c>
      <c r="L31" s="22"/>
    </row>
    <row r="32" spans="2:12" ht="33.75" outlineLevel="1" x14ac:dyDescent="0.2">
      <c r="B32" s="93" t="s">
        <v>8</v>
      </c>
      <c r="C32" s="69">
        <f>27282972.89</f>
        <v>27282972.890000001</v>
      </c>
      <c r="D32" s="70">
        <f>5712909.16</f>
        <v>5712909.1600000001</v>
      </c>
      <c r="E32" s="19" t="s">
        <v>44</v>
      </c>
      <c r="F32" s="19" t="s">
        <v>44</v>
      </c>
      <c r="G32" s="19" t="s">
        <v>44</v>
      </c>
      <c r="H32" s="19" t="s">
        <v>44</v>
      </c>
      <c r="I32" s="19" t="s">
        <v>44</v>
      </c>
      <c r="J32" s="18">
        <f t="shared" si="0"/>
        <v>1.2445851337446592E-2</v>
      </c>
      <c r="K32" s="18">
        <f t="shared" si="1"/>
        <v>20.939467201882337</v>
      </c>
      <c r="L32" s="22"/>
    </row>
    <row r="33" spans="2:12" ht="12.95" customHeight="1" outlineLevel="1" x14ac:dyDescent="0.2">
      <c r="B33" s="95" t="s">
        <v>6</v>
      </c>
      <c r="C33" s="69">
        <f>15794130</f>
        <v>15794130</v>
      </c>
      <c r="D33" s="69">
        <f>1925196</f>
        <v>1925196</v>
      </c>
      <c r="E33" s="19" t="s">
        <v>44</v>
      </c>
      <c r="F33" s="19" t="s">
        <v>44</v>
      </c>
      <c r="G33" s="19" t="s">
        <v>44</v>
      </c>
      <c r="H33" s="19" t="s">
        <v>44</v>
      </c>
      <c r="I33" s="19" t="s">
        <v>44</v>
      </c>
      <c r="J33" s="18">
        <f t="shared" si="0"/>
        <v>4.1941334161607483E-3</v>
      </c>
      <c r="K33" s="18">
        <f t="shared" si="1"/>
        <v>12.189313371486749</v>
      </c>
      <c r="L33" s="22"/>
    </row>
    <row r="34" spans="2:12" ht="13.5" customHeight="1" outlineLevel="1" x14ac:dyDescent="0.2">
      <c r="B34" s="92" t="s">
        <v>42</v>
      </c>
      <c r="C34" s="67">
        <f>C35+C37+C39</f>
        <v>2914853113.5599999</v>
      </c>
      <c r="D34" s="67">
        <f>D35+D37+D39</f>
        <v>977219609.01999998</v>
      </c>
      <c r="E34" s="20" t="s">
        <v>44</v>
      </c>
      <c r="F34" s="20" t="s">
        <v>44</v>
      </c>
      <c r="G34" s="20" t="s">
        <v>44</v>
      </c>
      <c r="H34" s="20" t="s">
        <v>44</v>
      </c>
      <c r="I34" s="20" t="s">
        <v>44</v>
      </c>
      <c r="J34" s="16">
        <f t="shared" si="0"/>
        <v>2.128920596717593</v>
      </c>
      <c r="K34" s="16">
        <f t="shared" si="1"/>
        <v>33.525518128990434</v>
      </c>
      <c r="L34" s="22"/>
    </row>
    <row r="35" spans="2:12" ht="22.5" outlineLevel="1" x14ac:dyDescent="0.2">
      <c r="B35" s="93" t="s">
        <v>92</v>
      </c>
      <c r="C35" s="69">
        <f>2347518835.81</f>
        <v>2347518835.8099999</v>
      </c>
      <c r="D35" s="69">
        <f>861971899.26</f>
        <v>861971899.25999999</v>
      </c>
      <c r="E35" s="19" t="s">
        <v>44</v>
      </c>
      <c r="F35" s="19" t="s">
        <v>44</v>
      </c>
      <c r="G35" s="19" t="s">
        <v>44</v>
      </c>
      <c r="H35" s="19" t="s">
        <v>44</v>
      </c>
      <c r="I35" s="19" t="s">
        <v>44</v>
      </c>
      <c r="J35" s="18">
        <f t="shared" si="0"/>
        <v>1.8778478380787784</v>
      </c>
      <c r="K35" s="18">
        <f t="shared" si="1"/>
        <v>36.71842313301741</v>
      </c>
      <c r="L35" s="22"/>
    </row>
    <row r="36" spans="2:12" ht="12.95" customHeight="1" outlineLevel="1" x14ac:dyDescent="0.2">
      <c r="B36" s="95" t="s">
        <v>6</v>
      </c>
      <c r="C36" s="69">
        <f>84518421.61</f>
        <v>84518421.609999999</v>
      </c>
      <c r="D36" s="70">
        <f>5857859.79</f>
        <v>5857859.79</v>
      </c>
      <c r="E36" s="19" t="s">
        <v>44</v>
      </c>
      <c r="F36" s="19" t="s">
        <v>44</v>
      </c>
      <c r="G36" s="19" t="s">
        <v>44</v>
      </c>
      <c r="H36" s="19" t="s">
        <v>44</v>
      </c>
      <c r="I36" s="19" t="s">
        <v>44</v>
      </c>
      <c r="J36" s="18">
        <f t="shared" si="0"/>
        <v>1.2761633357031378E-2</v>
      </c>
      <c r="K36" s="18">
        <f t="shared" si="1"/>
        <v>6.9308674705620783</v>
      </c>
      <c r="L36" s="22"/>
    </row>
    <row r="37" spans="2:12" ht="12.95" customHeight="1" outlineLevel="1" x14ac:dyDescent="0.2">
      <c r="B37" s="93" t="s">
        <v>93</v>
      </c>
      <c r="C37" s="69">
        <f>500132756.75</f>
        <v>500132756.75</v>
      </c>
      <c r="D37" s="69">
        <f>101443843.05</f>
        <v>101443843.05</v>
      </c>
      <c r="E37" s="19" t="s">
        <v>44</v>
      </c>
      <c r="F37" s="19" t="s">
        <v>44</v>
      </c>
      <c r="G37" s="19" t="s">
        <v>44</v>
      </c>
      <c r="H37" s="19" t="s">
        <v>44</v>
      </c>
      <c r="I37" s="19" t="s">
        <v>44</v>
      </c>
      <c r="J37" s="18">
        <f t="shared" si="0"/>
        <v>0.22100036152151326</v>
      </c>
      <c r="K37" s="18">
        <f t="shared" si="1"/>
        <v>20.283383097961821</v>
      </c>
      <c r="L37" s="22"/>
    </row>
    <row r="38" spans="2:12" ht="12.95" customHeight="1" outlineLevel="1" x14ac:dyDescent="0.2">
      <c r="B38" s="95" t="s">
        <v>6</v>
      </c>
      <c r="C38" s="69">
        <f>44147127</f>
        <v>44147127</v>
      </c>
      <c r="D38" s="70">
        <f>0</f>
        <v>0</v>
      </c>
      <c r="E38" s="19" t="s">
        <v>44</v>
      </c>
      <c r="F38" s="19" t="s">
        <v>44</v>
      </c>
      <c r="G38" s="19" t="s">
        <v>44</v>
      </c>
      <c r="H38" s="19" t="s">
        <v>44</v>
      </c>
      <c r="I38" s="19" t="s">
        <v>44</v>
      </c>
      <c r="J38" s="18">
        <f t="shared" si="0"/>
        <v>0</v>
      </c>
      <c r="K38" s="18">
        <f t="shared" si="1"/>
        <v>0</v>
      </c>
      <c r="L38" s="22"/>
    </row>
    <row r="39" spans="2:12" ht="33.75" outlineLevel="1" x14ac:dyDescent="0.2">
      <c r="B39" s="93" t="s">
        <v>8</v>
      </c>
      <c r="C39" s="69">
        <f>67201521</f>
        <v>67201521</v>
      </c>
      <c r="D39" s="69">
        <f>13803866.71</f>
        <v>13803866.710000001</v>
      </c>
      <c r="E39" s="19" t="s">
        <v>44</v>
      </c>
      <c r="F39" s="19" t="s">
        <v>44</v>
      </c>
      <c r="G39" s="19" t="s">
        <v>44</v>
      </c>
      <c r="H39" s="19" t="s">
        <v>44</v>
      </c>
      <c r="I39" s="19" t="s">
        <v>44</v>
      </c>
      <c r="J39" s="18">
        <f t="shared" si="0"/>
        <v>3.0072397117301263E-2</v>
      </c>
      <c r="K39" s="18">
        <f t="shared" si="1"/>
        <v>20.541003394848758</v>
      </c>
      <c r="L39" s="22"/>
    </row>
    <row r="40" spans="2:12" ht="12.95" customHeight="1" outlineLevel="1" x14ac:dyDescent="0.2">
      <c r="B40" s="95" t="s">
        <v>6</v>
      </c>
      <c r="C40" s="69">
        <f>2269596</f>
        <v>2269596</v>
      </c>
      <c r="D40" s="70">
        <f>2269596</f>
        <v>2269596</v>
      </c>
      <c r="E40" s="19" t="s">
        <v>44</v>
      </c>
      <c r="F40" s="19" t="s">
        <v>44</v>
      </c>
      <c r="G40" s="19" t="s">
        <v>44</v>
      </c>
      <c r="H40" s="19" t="s">
        <v>44</v>
      </c>
      <c r="I40" s="19" t="s">
        <v>44</v>
      </c>
      <c r="J40" s="18">
        <f t="shared" si="0"/>
        <v>4.9444256194095398E-3</v>
      </c>
      <c r="K40" s="18">
        <f t="shared" si="1"/>
        <v>100</v>
      </c>
      <c r="L40" s="22"/>
    </row>
    <row r="41" spans="2:12" ht="13.5" customHeight="1" outlineLevel="1" x14ac:dyDescent="0.2">
      <c r="B41" s="91" t="s">
        <v>43</v>
      </c>
      <c r="C41" s="67">
        <f>C42+C44+C46+C50+C52+C48+C54+C56</f>
        <v>5103443250.3299999</v>
      </c>
      <c r="D41" s="67">
        <f>D42+D44+D46+D50+D52+D48+D54+D56</f>
        <v>1071670476.01</v>
      </c>
      <c r="E41" s="20" t="s">
        <v>44</v>
      </c>
      <c r="F41" s="20" t="s">
        <v>44</v>
      </c>
      <c r="G41" s="20" t="s">
        <v>44</v>
      </c>
      <c r="H41" s="20" t="s">
        <v>44</v>
      </c>
      <c r="I41" s="20" t="s">
        <v>44</v>
      </c>
      <c r="J41" s="16">
        <f t="shared" si="0"/>
        <v>2.3346864187056466</v>
      </c>
      <c r="K41" s="16">
        <f t="shared" si="1"/>
        <v>20.998969194782433</v>
      </c>
      <c r="L41" s="22"/>
    </row>
    <row r="42" spans="2:12" ht="33.75" outlineLevel="1" x14ac:dyDescent="0.2">
      <c r="B42" s="93" t="s">
        <v>97</v>
      </c>
      <c r="C42" s="68">
        <f>0</f>
        <v>0</v>
      </c>
      <c r="D42" s="71">
        <f>0</f>
        <v>0</v>
      </c>
      <c r="E42" s="19" t="s">
        <v>44</v>
      </c>
      <c r="F42" s="19" t="s">
        <v>44</v>
      </c>
      <c r="G42" s="19" t="s">
        <v>44</v>
      </c>
      <c r="H42" s="19" t="s">
        <v>44</v>
      </c>
      <c r="I42" s="19" t="s">
        <v>44</v>
      </c>
      <c r="J42" s="18">
        <f t="shared" si="0"/>
        <v>0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44</v>
      </c>
      <c r="F43" s="19" t="s">
        <v>44</v>
      </c>
      <c r="G43" s="19" t="s">
        <v>44</v>
      </c>
      <c r="H43" s="19" t="s">
        <v>44</v>
      </c>
      <c r="I43" s="19" t="s">
        <v>44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98</v>
      </c>
      <c r="C44" s="68">
        <f>0</f>
        <v>0</v>
      </c>
      <c r="D44" s="71">
        <f>0</f>
        <v>0</v>
      </c>
      <c r="E44" s="19" t="s">
        <v>44</v>
      </c>
      <c r="F44" s="19" t="s">
        <v>44</v>
      </c>
      <c r="G44" s="19" t="s">
        <v>44</v>
      </c>
      <c r="H44" s="19" t="s">
        <v>44</v>
      </c>
      <c r="I44" s="19" t="s">
        <v>44</v>
      </c>
      <c r="J44" s="18">
        <f t="shared" si="0"/>
        <v>0</v>
      </c>
      <c r="K44" s="18" t="str">
        <f t="shared" si="1"/>
        <v/>
      </c>
      <c r="L44" s="22"/>
    </row>
    <row r="45" spans="2:12" ht="13.5" customHeight="1" outlineLevel="1" x14ac:dyDescent="0.2">
      <c r="B45" s="95" t="s">
        <v>6</v>
      </c>
      <c r="C45" s="68">
        <f>0</f>
        <v>0</v>
      </c>
      <c r="D45" s="71">
        <f>0</f>
        <v>0</v>
      </c>
      <c r="E45" s="19" t="s">
        <v>44</v>
      </c>
      <c r="F45" s="19" t="s">
        <v>44</v>
      </c>
      <c r="G45" s="19" t="s">
        <v>44</v>
      </c>
      <c r="H45" s="19" t="s">
        <v>44</v>
      </c>
      <c r="I45" s="19" t="s">
        <v>44</v>
      </c>
      <c r="J45" s="18">
        <f t="shared" si="0"/>
        <v>0</v>
      </c>
      <c r="K45" s="18" t="str">
        <f t="shared" si="1"/>
        <v/>
      </c>
      <c r="L45" s="22"/>
    </row>
    <row r="46" spans="2:12" ht="22.5" outlineLevel="1" x14ac:dyDescent="0.2">
      <c r="B46" s="93" t="s">
        <v>9</v>
      </c>
      <c r="C46" s="68">
        <f>874149192.61</f>
        <v>874149192.61000001</v>
      </c>
      <c r="D46" s="71">
        <f>201360573.57</f>
        <v>201360573.56999999</v>
      </c>
      <c r="E46" s="17" t="s">
        <v>44</v>
      </c>
      <c r="F46" s="17" t="s">
        <v>44</v>
      </c>
      <c r="G46" s="17" t="s">
        <v>44</v>
      </c>
      <c r="H46" s="17" t="s">
        <v>44</v>
      </c>
      <c r="I46" s="17" t="s">
        <v>44</v>
      </c>
      <c r="J46" s="18">
        <f t="shared" si="0"/>
        <v>0.43867383388872183</v>
      </c>
      <c r="K46" s="18">
        <f t="shared" si="1"/>
        <v>23.035035125844548</v>
      </c>
      <c r="L46" s="22"/>
    </row>
    <row r="47" spans="2:12" ht="12.95" customHeight="1" outlineLevel="1" x14ac:dyDescent="0.2">
      <c r="B47" s="95" t="s">
        <v>6</v>
      </c>
      <c r="C47" s="69">
        <f>160766.74</f>
        <v>160766.74</v>
      </c>
      <c r="D47" s="69">
        <f>0</f>
        <v>0</v>
      </c>
      <c r="E47" s="19" t="s">
        <v>44</v>
      </c>
      <c r="F47" s="19" t="s">
        <v>44</v>
      </c>
      <c r="G47" s="19" t="s">
        <v>44</v>
      </c>
      <c r="H47" s="19" t="s">
        <v>44</v>
      </c>
      <c r="I47" s="19" t="s">
        <v>44</v>
      </c>
      <c r="J47" s="18">
        <f t="shared" si="0"/>
        <v>0</v>
      </c>
      <c r="K47" s="18">
        <f t="shared" si="1"/>
        <v>0</v>
      </c>
      <c r="L47" s="22"/>
    </row>
    <row r="48" spans="2:12" ht="33.75" outlineLevel="1" x14ac:dyDescent="0.2">
      <c r="B48" s="93" t="s">
        <v>62</v>
      </c>
      <c r="C48" s="69">
        <f>295092796.79</f>
        <v>295092796.79000002</v>
      </c>
      <c r="D48" s="69">
        <f>48651406.61</f>
        <v>48651406.609999999</v>
      </c>
      <c r="E48" s="19" t="s">
        <v>44</v>
      </c>
      <c r="F48" s="19" t="s">
        <v>44</v>
      </c>
      <c r="G48" s="19" t="s">
        <v>44</v>
      </c>
      <c r="H48" s="19" t="s">
        <v>44</v>
      </c>
      <c r="I48" s="19" t="s">
        <v>44</v>
      </c>
      <c r="J48" s="18">
        <f>IF($D$5=0,"",100*$D48/$D$5)</f>
        <v>0.10598946299817</v>
      </c>
      <c r="K48" s="18">
        <f>IF(C48=0,"",100*D48/C48)</f>
        <v>16.486816058957316</v>
      </c>
      <c r="L48" s="22"/>
    </row>
    <row r="49" spans="2:12" ht="12.95" customHeight="1" outlineLevel="1" x14ac:dyDescent="0.2">
      <c r="B49" s="95" t="s">
        <v>6</v>
      </c>
      <c r="C49" s="69">
        <f>269621748.79</f>
        <v>269621748.79000002</v>
      </c>
      <c r="D49" s="69">
        <f>41257317.11</f>
        <v>41257317.109999999</v>
      </c>
      <c r="E49" s="19" t="s">
        <v>44</v>
      </c>
      <c r="F49" s="19" t="s">
        <v>44</v>
      </c>
      <c r="G49" s="19" t="s">
        <v>44</v>
      </c>
      <c r="H49" s="19" t="s">
        <v>44</v>
      </c>
      <c r="I49" s="19" t="s">
        <v>44</v>
      </c>
      <c r="J49" s="18">
        <f>IF($D$5=0,"",100*$D49/$D$5)</f>
        <v>8.9881078265377432E-2</v>
      </c>
      <c r="K49" s="18">
        <f>IF(C49=0,"",100*D49/C49)</f>
        <v>15.301924750192923</v>
      </c>
      <c r="L49" s="22"/>
    </row>
    <row r="50" spans="2:12" ht="12.95" customHeight="1" outlineLevel="1" x14ac:dyDescent="0.2">
      <c r="B50" s="93" t="s">
        <v>7</v>
      </c>
      <c r="C50" s="69">
        <f>276336411.08</f>
        <v>276336411.07999998</v>
      </c>
      <c r="D50" s="70">
        <f>17059905</f>
        <v>17059905</v>
      </c>
      <c r="E50" s="19" t="s">
        <v>44</v>
      </c>
      <c r="F50" s="19" t="s">
        <v>44</v>
      </c>
      <c r="G50" s="19" t="s">
        <v>44</v>
      </c>
      <c r="H50" s="19" t="s">
        <v>44</v>
      </c>
      <c r="I50" s="19" t="s">
        <v>44</v>
      </c>
      <c r="J50" s="18">
        <f t="shared" si="0"/>
        <v>3.7165835393917206E-2</v>
      </c>
      <c r="K50" s="18">
        <f t="shared" si="1"/>
        <v>6.1736001178147752</v>
      </c>
      <c r="L50" s="22"/>
    </row>
    <row r="51" spans="2:12" ht="12.95" customHeight="1" outlineLevel="1" x14ac:dyDescent="0.2">
      <c r="B51" s="95" t="s">
        <v>6</v>
      </c>
      <c r="C51" s="69">
        <f>262838701.49</f>
        <v>262838701.49000001</v>
      </c>
      <c r="D51" s="69">
        <f>11988768.75</f>
        <v>11988768.75</v>
      </c>
      <c r="E51" s="19" t="s">
        <v>44</v>
      </c>
      <c r="F51" s="19" t="s">
        <v>44</v>
      </c>
      <c r="G51" s="19" t="s">
        <v>44</v>
      </c>
      <c r="H51" s="19" t="s">
        <v>44</v>
      </c>
      <c r="I51" s="19" t="s">
        <v>44</v>
      </c>
      <c r="J51" s="18">
        <f t="shared" si="0"/>
        <v>2.611811765295519E-2</v>
      </c>
      <c r="K51" s="18">
        <f t="shared" si="1"/>
        <v>4.5612646395059615</v>
      </c>
      <c r="L51" s="22"/>
    </row>
    <row r="52" spans="2:12" ht="67.5" outlineLevel="1" x14ac:dyDescent="0.2">
      <c r="B52" s="93" t="s">
        <v>83</v>
      </c>
      <c r="C52" s="69">
        <f>1720000</f>
        <v>1720000</v>
      </c>
      <c r="D52" s="69">
        <f>0</f>
        <v>0</v>
      </c>
      <c r="E52" s="19" t="s">
        <v>44</v>
      </c>
      <c r="F52" s="19" t="s">
        <v>44</v>
      </c>
      <c r="G52" s="19" t="s">
        <v>44</v>
      </c>
      <c r="H52" s="19" t="s">
        <v>44</v>
      </c>
      <c r="I52" s="19" t="s">
        <v>44</v>
      </c>
      <c r="J52" s="18">
        <f t="shared" si="0"/>
        <v>0</v>
      </c>
      <c r="K52" s="18">
        <f>IF(C52=0,"",100*D52/C52)</f>
        <v>0</v>
      </c>
      <c r="L52" s="22"/>
    </row>
    <row r="53" spans="2:12" ht="12.95" customHeight="1" outlineLevel="1" x14ac:dyDescent="0.2">
      <c r="B53" s="95" t="s">
        <v>82</v>
      </c>
      <c r="C53" s="69">
        <f>1720000</f>
        <v>1720000</v>
      </c>
      <c r="D53" s="69">
        <f>0</f>
        <v>0</v>
      </c>
      <c r="E53" s="19" t="s">
        <v>44</v>
      </c>
      <c r="F53" s="19" t="s">
        <v>44</v>
      </c>
      <c r="G53" s="19" t="s">
        <v>44</v>
      </c>
      <c r="H53" s="19" t="s">
        <v>44</v>
      </c>
      <c r="I53" s="19" t="s">
        <v>44</v>
      </c>
      <c r="J53" s="18">
        <f t="shared" si="0"/>
        <v>0</v>
      </c>
      <c r="K53" s="18">
        <f>IF(C53=0,"",100*D53/C53)</f>
        <v>0</v>
      </c>
      <c r="L53" s="22"/>
    </row>
    <row r="54" spans="2:12" ht="45" outlineLevel="1" x14ac:dyDescent="0.2">
      <c r="B54" s="94" t="s">
        <v>81</v>
      </c>
      <c r="C54" s="72">
        <f>3074488050.52</f>
        <v>3074488050.52</v>
      </c>
      <c r="D54" s="72">
        <f>326901061.78</f>
        <v>326901061.77999997</v>
      </c>
      <c r="E54" s="24" t="s">
        <v>44</v>
      </c>
      <c r="F54" s="24" t="s">
        <v>44</v>
      </c>
      <c r="G54" s="24" t="s">
        <v>44</v>
      </c>
      <c r="H54" s="24" t="s">
        <v>44</v>
      </c>
      <c r="I54" s="24" t="s">
        <v>44</v>
      </c>
      <c r="J54" s="25">
        <f>IF($D$5=0,"",100*$D54/$D$5)</f>
        <v>0.71216991256470874</v>
      </c>
      <c r="K54" s="25">
        <f>IF(C54=0,"",100*D54/C54)</f>
        <v>10.632699051300913</v>
      </c>
      <c r="L54" s="22"/>
    </row>
    <row r="55" spans="2:12" ht="12.95" customHeight="1" outlineLevel="1" x14ac:dyDescent="0.2">
      <c r="B55" s="95" t="s">
        <v>82</v>
      </c>
      <c r="C55" s="69">
        <f>3046909876.17</f>
        <v>3046909876.1700001</v>
      </c>
      <c r="D55" s="69">
        <f>309685402.95</f>
        <v>309685402.94999999</v>
      </c>
      <c r="E55" s="19" t="s">
        <v>44</v>
      </c>
      <c r="F55" s="19" t="s">
        <v>44</v>
      </c>
      <c r="G55" s="19" t="s">
        <v>44</v>
      </c>
      <c r="H55" s="19" t="s">
        <v>44</v>
      </c>
      <c r="I55" s="19" t="s">
        <v>44</v>
      </c>
      <c r="J55" s="18">
        <f t="shared" si="0"/>
        <v>0.67466475985291952</v>
      </c>
      <c r="K55" s="18">
        <f t="shared" ref="K55:K63" si="4">IF(C55=0,"",100*D55/C55)</f>
        <v>10.163917396181013</v>
      </c>
      <c r="L55" s="22"/>
    </row>
    <row r="56" spans="2:12" ht="22.5" outlineLevel="1" x14ac:dyDescent="0.2">
      <c r="B56" s="94" t="s">
        <v>94</v>
      </c>
      <c r="C56" s="69">
        <f>581656799.33</f>
        <v>581656799.33000004</v>
      </c>
      <c r="D56" s="69">
        <f>477697529.05</f>
        <v>477697529.05000001</v>
      </c>
      <c r="E56" s="19" t="s">
        <v>44</v>
      </c>
      <c r="F56" s="19" t="s">
        <v>44</v>
      </c>
      <c r="G56" s="19" t="s">
        <v>44</v>
      </c>
      <c r="H56" s="19" t="s">
        <v>44</v>
      </c>
      <c r="I56" s="19" t="s">
        <v>44</v>
      </c>
      <c r="J56" s="18">
        <f t="shared" si="0"/>
        <v>1.0406873738601288</v>
      </c>
      <c r="K56" s="18">
        <f t="shared" si="4"/>
        <v>82.127042888564375</v>
      </c>
      <c r="L56" s="22"/>
    </row>
    <row r="57" spans="2:12" ht="12.95" customHeight="1" outlineLevel="1" x14ac:dyDescent="0.2">
      <c r="B57" s="95" t="s">
        <v>6</v>
      </c>
      <c r="C57" s="69">
        <f>0</f>
        <v>0</v>
      </c>
      <c r="D57" s="69">
        <f>0</f>
        <v>0</v>
      </c>
      <c r="E57" s="19" t="s">
        <v>44</v>
      </c>
      <c r="F57" s="19" t="s">
        <v>44</v>
      </c>
      <c r="G57" s="19" t="s">
        <v>44</v>
      </c>
      <c r="H57" s="19" t="s">
        <v>44</v>
      </c>
      <c r="I57" s="19" t="s">
        <v>44</v>
      </c>
      <c r="J57" s="18">
        <f t="shared" si="0"/>
        <v>0</v>
      </c>
      <c r="K57" s="18" t="str">
        <f t="shared" si="4"/>
        <v/>
      </c>
      <c r="L57" s="22"/>
    </row>
    <row r="58" spans="2:12" ht="13.5" customHeight="1" outlineLevel="1" x14ac:dyDescent="0.2">
      <c r="B58" s="90" t="s">
        <v>68</v>
      </c>
      <c r="C58" s="67">
        <f>87388233.77</f>
        <v>87388233.769999996</v>
      </c>
      <c r="D58" s="67">
        <f>11622261.14</f>
        <v>11622261.140000001</v>
      </c>
      <c r="E58" s="20" t="s">
        <v>44</v>
      </c>
      <c r="F58" s="20" t="s">
        <v>44</v>
      </c>
      <c r="G58" s="20" t="s">
        <v>44</v>
      </c>
      <c r="H58" s="20" t="s">
        <v>44</v>
      </c>
      <c r="I58" s="20" t="s">
        <v>44</v>
      </c>
      <c r="J58" s="16">
        <f t="shared" si="0"/>
        <v>2.5319662942692854E-2</v>
      </c>
      <c r="K58" s="16">
        <f t="shared" si="4"/>
        <v>13.299572080366124</v>
      </c>
      <c r="L58" s="22"/>
    </row>
    <row r="59" spans="2:12" ht="12.95" customHeight="1" outlineLevel="1" x14ac:dyDescent="0.2">
      <c r="B59" s="93" t="s">
        <v>69</v>
      </c>
      <c r="C59" s="69">
        <f>46738253.58</f>
        <v>46738253.579999998</v>
      </c>
      <c r="D59" s="69">
        <f>2612198.85</f>
        <v>2612198.85</v>
      </c>
      <c r="E59" s="19" t="s">
        <v>44</v>
      </c>
      <c r="F59" s="19" t="s">
        <v>44</v>
      </c>
      <c r="G59" s="19" t="s">
        <v>44</v>
      </c>
      <c r="H59" s="19" t="s">
        <v>44</v>
      </c>
      <c r="I59" s="19" t="s">
        <v>44</v>
      </c>
      <c r="J59" s="18">
        <f t="shared" si="0"/>
        <v>5.6908026437005261E-3</v>
      </c>
      <c r="K59" s="18">
        <f t="shared" si="4"/>
        <v>5.5889954157760808</v>
      </c>
      <c r="L59" s="22"/>
    </row>
    <row r="60" spans="2:12" ht="13.5" customHeight="1" outlineLevel="1" x14ac:dyDescent="0.2">
      <c r="B60" s="90" t="s">
        <v>70</v>
      </c>
      <c r="C60" s="73">
        <f>3786854497.77</f>
        <v>3786854497.77</v>
      </c>
      <c r="D60" s="73">
        <f>288578772.45</f>
        <v>288578772.44999999</v>
      </c>
      <c r="E60" s="20" t="s">
        <v>44</v>
      </c>
      <c r="F60" s="20" t="s">
        <v>44</v>
      </c>
      <c r="G60" s="20" t="s">
        <v>44</v>
      </c>
      <c r="H60" s="20" t="s">
        <v>44</v>
      </c>
      <c r="I60" s="20" t="s">
        <v>44</v>
      </c>
      <c r="J60" s="23">
        <f t="shared" si="0"/>
        <v>0.62868293551783494</v>
      </c>
      <c r="K60" s="23">
        <f t="shared" si="4"/>
        <v>7.6205402827052913</v>
      </c>
      <c r="L60" s="22"/>
    </row>
    <row r="61" spans="2:12" ht="12.95" customHeight="1" outlineLevel="1" x14ac:dyDescent="0.2">
      <c r="B61" s="94" t="s">
        <v>71</v>
      </c>
      <c r="C61" s="72">
        <f>2941082413.1</f>
        <v>2941082413.0999999</v>
      </c>
      <c r="D61" s="72">
        <f>135786461.73</f>
        <v>135786461.72999999</v>
      </c>
      <c r="E61" s="24" t="s">
        <v>44</v>
      </c>
      <c r="F61" s="24" t="s">
        <v>44</v>
      </c>
      <c r="G61" s="24" t="s">
        <v>44</v>
      </c>
      <c r="H61" s="24" t="s">
        <v>44</v>
      </c>
      <c r="I61" s="24" t="s">
        <v>44</v>
      </c>
      <c r="J61" s="25">
        <f t="shared" si="0"/>
        <v>0.29581743188954551</v>
      </c>
      <c r="K61" s="25">
        <f t="shared" si="4"/>
        <v>4.6168873447812189</v>
      </c>
      <c r="L61" s="22"/>
    </row>
    <row r="62" spans="2:12" s="26" customFormat="1" ht="25.5" customHeight="1" x14ac:dyDescent="0.2">
      <c r="B62" s="88" t="s">
        <v>107</v>
      </c>
      <c r="C62" s="67">
        <f>8042372287.09</f>
        <v>8042372287.0900002</v>
      </c>
      <c r="D62" s="67">
        <f>2070377884.02</f>
        <v>2070377884.02</v>
      </c>
      <c r="E62" s="20" t="s">
        <v>44</v>
      </c>
      <c r="F62" s="20" t="s">
        <v>44</v>
      </c>
      <c r="G62" s="20" t="s">
        <v>44</v>
      </c>
      <c r="H62" s="20" t="s">
        <v>44</v>
      </c>
      <c r="I62" s="20" t="s">
        <v>44</v>
      </c>
      <c r="J62" s="16">
        <f t="shared" si="0"/>
        <v>4.5104192339109694</v>
      </c>
      <c r="K62" s="16">
        <f t="shared" si="4"/>
        <v>25.743372852105708</v>
      </c>
      <c r="L62" s="27"/>
    </row>
    <row r="63" spans="2:12" outlineLevel="1" x14ac:dyDescent="0.2">
      <c r="B63" s="10" t="s">
        <v>31</v>
      </c>
      <c r="C63" s="69">
        <f>3193822</f>
        <v>3193822</v>
      </c>
      <c r="D63" s="69">
        <f>0</f>
        <v>0</v>
      </c>
      <c r="E63" s="19" t="s">
        <v>44</v>
      </c>
      <c r="F63" s="19" t="s">
        <v>44</v>
      </c>
      <c r="G63" s="19" t="s">
        <v>44</v>
      </c>
      <c r="H63" s="19" t="s">
        <v>44</v>
      </c>
      <c r="I63" s="19" t="s">
        <v>44</v>
      </c>
      <c r="J63" s="18">
        <f t="shared" si="0"/>
        <v>0</v>
      </c>
      <c r="K63" s="18">
        <f t="shared" si="4"/>
        <v>0</v>
      </c>
      <c r="L63" s="22"/>
    </row>
    <row r="64" spans="2:12" ht="22.5" outlineLevel="1" x14ac:dyDescent="0.2">
      <c r="B64" s="10" t="s">
        <v>108</v>
      </c>
      <c r="C64" s="69">
        <f>135783561.62</f>
        <v>135783561.62</v>
      </c>
      <c r="D64" s="69">
        <f>94529158.74</f>
        <v>94529158.739999995</v>
      </c>
      <c r="E64" s="19" t="s">
        <v>44</v>
      </c>
      <c r="F64" s="19" t="s">
        <v>44</v>
      </c>
      <c r="G64" s="19" t="s">
        <v>44</v>
      </c>
      <c r="H64" s="19" t="s">
        <v>44</v>
      </c>
      <c r="I64" s="19" t="s">
        <v>44</v>
      </c>
      <c r="J64" s="18">
        <f t="shared" si="0"/>
        <v>0.20593638438527706</v>
      </c>
      <c r="K64" s="18">
        <f>IF(C64=0,"",100*D64/C64)</f>
        <v>69.617527786276966</v>
      </c>
      <c r="L64" s="22"/>
    </row>
    <row r="65" spans="1:26" s="26" customFormat="1" outlineLevel="1" x14ac:dyDescent="0.2">
      <c r="B65" s="93" t="s">
        <v>6</v>
      </c>
      <c r="C65" s="69">
        <f>4800000</f>
        <v>4800000</v>
      </c>
      <c r="D65" s="69">
        <f>0</f>
        <v>0</v>
      </c>
      <c r="E65" s="19" t="s">
        <v>44</v>
      </c>
      <c r="F65" s="19" t="s">
        <v>44</v>
      </c>
      <c r="G65" s="19" t="s">
        <v>44</v>
      </c>
      <c r="H65" s="19" t="s">
        <v>44</v>
      </c>
      <c r="I65" s="19" t="s">
        <v>44</v>
      </c>
      <c r="J65" s="18">
        <f t="shared" si="0"/>
        <v>0</v>
      </c>
      <c r="K65" s="18">
        <f>IF(C65=0,"",100*D65/C65)</f>
        <v>0</v>
      </c>
      <c r="L65" s="27"/>
    </row>
    <row r="66" spans="1:26" ht="11.25" customHeight="1" x14ac:dyDescent="0.2">
      <c r="B66" s="28"/>
      <c r="C66" s="29"/>
      <c r="D66" s="29"/>
      <c r="E66" s="29"/>
      <c r="F66" s="29"/>
      <c r="G66" s="29"/>
      <c r="H66" s="29"/>
      <c r="I66" s="29"/>
      <c r="J66" s="21"/>
      <c r="K66" s="21"/>
      <c r="L66" s="22"/>
    </row>
    <row r="67" spans="1:26" ht="13.5" customHeight="1" x14ac:dyDescent="0.2">
      <c r="B67" s="65" t="s">
        <v>5</v>
      </c>
      <c r="C67" s="20">
        <f t="shared" ref="C67:I67" si="5">+C5</f>
        <v>144098752548.04001</v>
      </c>
      <c r="D67" s="20">
        <f t="shared" si="5"/>
        <v>45902116336.639999</v>
      </c>
      <c r="E67" s="20">
        <f t="shared" si="5"/>
        <v>242500440.93000001</v>
      </c>
      <c r="F67" s="20">
        <f t="shared" si="5"/>
        <v>37739313.82</v>
      </c>
      <c r="G67" s="20">
        <f t="shared" si="5"/>
        <v>6503401.9699999997</v>
      </c>
      <c r="H67" s="20">
        <f t="shared" si="5"/>
        <v>23567314.77</v>
      </c>
      <c r="I67" s="20">
        <f t="shared" si="5"/>
        <v>58477.13</v>
      </c>
      <c r="J67" s="16">
        <f t="shared" si="0"/>
        <v>100</v>
      </c>
      <c r="K67" s="16">
        <f>IF(C67=0,"",100*D67/C67)</f>
        <v>31.854624363480895</v>
      </c>
      <c r="L67" s="22"/>
    </row>
    <row r="68" spans="1:26" x14ac:dyDescent="0.2">
      <c r="B68" s="99" t="s">
        <v>57</v>
      </c>
      <c r="C68" s="19">
        <f>10958378233.2</f>
        <v>10958378233.200001</v>
      </c>
      <c r="D68" s="19">
        <f>1179830332.26</f>
        <v>1179830332.26</v>
      </c>
      <c r="E68" s="19">
        <f>0</f>
        <v>0</v>
      </c>
      <c r="F68" s="19">
        <f>0</f>
        <v>0</v>
      </c>
      <c r="G68" s="19">
        <f>0</f>
        <v>0</v>
      </c>
      <c r="H68" s="19">
        <f>0</f>
        <v>0</v>
      </c>
      <c r="I68" s="19">
        <f>0</f>
        <v>0</v>
      </c>
      <c r="J68" s="18">
        <f t="shared" si="0"/>
        <v>2.5703179426571134</v>
      </c>
      <c r="K68" s="18">
        <f>IF(C68=0,"",100*D68/C68)</f>
        <v>10.766468424000299</v>
      </c>
      <c r="L68" s="22"/>
    </row>
    <row r="69" spans="1:26" s="26" customFormat="1" x14ac:dyDescent="0.2">
      <c r="A69" s="9"/>
      <c r="B69" s="99" t="s">
        <v>58</v>
      </c>
      <c r="C69" s="19">
        <f>C67-C68</f>
        <v>133140374314.84001</v>
      </c>
      <c r="D69" s="19">
        <f t="shared" ref="D69:I69" si="6">D67-D68</f>
        <v>44722286004.379997</v>
      </c>
      <c r="E69" s="19">
        <f t="shared" si="6"/>
        <v>242500440.93000001</v>
      </c>
      <c r="F69" s="19">
        <f t="shared" si="6"/>
        <v>37739313.82</v>
      </c>
      <c r="G69" s="19">
        <f t="shared" si="6"/>
        <v>6503401.9699999997</v>
      </c>
      <c r="H69" s="19">
        <f t="shared" si="6"/>
        <v>23567314.77</v>
      </c>
      <c r="I69" s="19">
        <f t="shared" si="6"/>
        <v>58477.13</v>
      </c>
      <c r="J69" s="18">
        <f t="shared" si="0"/>
        <v>97.429682057342887</v>
      </c>
      <c r="K69" s="18">
        <f>IF(C69=0,"",100*D69/C69)</f>
        <v>33.590326176058518</v>
      </c>
      <c r="L69" s="30"/>
    </row>
    <row r="70" spans="1:26" s="26" customFormat="1" x14ac:dyDescent="0.2">
      <c r="A70" s="9"/>
      <c r="B70" s="105" t="s">
        <v>96</v>
      </c>
      <c r="C70" s="29"/>
      <c r="D70" s="29"/>
      <c r="E70" s="29"/>
      <c r="F70" s="29"/>
      <c r="G70" s="29"/>
      <c r="H70" s="29"/>
      <c r="I70" s="29"/>
      <c r="J70" s="21"/>
      <c r="K70" s="21"/>
      <c r="L70" s="30"/>
    </row>
    <row r="71" spans="1:26" s="26" customFormat="1" x14ac:dyDescent="0.2">
      <c r="A71" s="9"/>
      <c r="B71" s="104" t="s">
        <v>95</v>
      </c>
      <c r="C71" s="29"/>
      <c r="D71" s="29"/>
      <c r="E71" s="29"/>
      <c r="F71" s="29"/>
      <c r="G71" s="29"/>
      <c r="H71" s="29"/>
      <c r="I71" s="29"/>
      <c r="J71" s="21"/>
      <c r="K71" s="21"/>
      <c r="L71" s="30"/>
    </row>
    <row r="72" spans="1:26" ht="18" x14ac:dyDescent="0.2">
      <c r="B72" s="87" t="str">
        <f>CONCATENATE("Informacja z wykonania budżetów miast na prawach powiatu za ",$D$145," ",$C$146," rok    ",$C$148,"")</f>
        <v xml:space="preserve">Informacja z wykonania budżetów miast na prawach powiatu za I Kwartał 2025 rok    </v>
      </c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</row>
    <row r="73" spans="1:26" s="26" customFormat="1" x14ac:dyDescent="0.2">
      <c r="B73" s="31"/>
      <c r="C73" s="32"/>
      <c r="D73" s="32"/>
      <c r="E73" s="32"/>
      <c r="F73" s="33"/>
      <c r="G73" s="33"/>
      <c r="H73" s="33"/>
      <c r="I73" s="33"/>
      <c r="J73" s="33"/>
      <c r="K73" s="1"/>
      <c r="L73" s="1"/>
      <c r="M73" s="34"/>
    </row>
    <row r="74" spans="1:26" ht="29.25" customHeight="1" x14ac:dyDescent="0.2">
      <c r="B74" s="136" t="s">
        <v>0</v>
      </c>
      <c r="C74" s="134" t="s">
        <v>37</v>
      </c>
      <c r="D74" s="134" t="s">
        <v>39</v>
      </c>
      <c r="E74" s="134" t="s">
        <v>38</v>
      </c>
      <c r="F74" s="134" t="s">
        <v>10</v>
      </c>
      <c r="G74" s="134"/>
      <c r="H74" s="134"/>
      <c r="I74" s="138" t="s">
        <v>67</v>
      </c>
      <c r="J74" s="134" t="s">
        <v>2</v>
      </c>
      <c r="K74" s="137" t="s">
        <v>16</v>
      </c>
      <c r="M74" s="35"/>
      <c r="N74" s="52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8" customHeight="1" x14ac:dyDescent="0.2">
      <c r="B75" s="136"/>
      <c r="C75" s="134"/>
      <c r="D75" s="134"/>
      <c r="E75" s="132"/>
      <c r="F75" s="119" t="s">
        <v>40</v>
      </c>
      <c r="G75" s="131" t="s">
        <v>23</v>
      </c>
      <c r="H75" s="132"/>
      <c r="I75" s="139"/>
      <c r="J75" s="134"/>
      <c r="K75" s="137"/>
      <c r="L75" s="2"/>
      <c r="M75" s="3"/>
      <c r="N75" s="52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58.5" customHeight="1" x14ac:dyDescent="0.2">
      <c r="B76" s="136"/>
      <c r="C76" s="134"/>
      <c r="D76" s="134"/>
      <c r="E76" s="132"/>
      <c r="F76" s="132"/>
      <c r="G76" s="7" t="s">
        <v>35</v>
      </c>
      <c r="H76" s="7" t="s">
        <v>36</v>
      </c>
      <c r="I76" s="140"/>
      <c r="J76" s="134"/>
      <c r="K76" s="137"/>
      <c r="L76" s="2"/>
      <c r="M76" s="35"/>
      <c r="N76" s="52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3.5" customHeight="1" x14ac:dyDescent="0.2">
      <c r="B77" s="136"/>
      <c r="C77" s="128" t="s">
        <v>61</v>
      </c>
      <c r="D77" s="129"/>
      <c r="E77" s="129"/>
      <c r="F77" s="129"/>
      <c r="G77" s="129"/>
      <c r="H77" s="129"/>
      <c r="I77" s="130"/>
      <c r="J77" s="125" t="s">
        <v>4</v>
      </c>
      <c r="K77" s="12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1.25" customHeight="1" x14ac:dyDescent="0.2">
      <c r="B78" s="6">
        <v>1</v>
      </c>
      <c r="C78" s="8">
        <v>2</v>
      </c>
      <c r="D78" s="8">
        <v>3</v>
      </c>
      <c r="E78" s="8">
        <v>4</v>
      </c>
      <c r="F78" s="6">
        <v>5</v>
      </c>
      <c r="G78" s="6">
        <v>6</v>
      </c>
      <c r="H78" s="8">
        <v>7</v>
      </c>
      <c r="I78" s="8">
        <v>8</v>
      </c>
      <c r="J78" s="6">
        <v>9</v>
      </c>
      <c r="K78" s="8">
        <v>10</v>
      </c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25.5" customHeight="1" x14ac:dyDescent="0.2">
      <c r="B79" s="65" t="s">
        <v>47</v>
      </c>
      <c r="C79" s="74">
        <f>157665059321.77</f>
        <v>157665059321.76999</v>
      </c>
      <c r="D79" s="74">
        <f>34191913059.68</f>
        <v>34191913059.68</v>
      </c>
      <c r="E79" s="74">
        <f>112290266254.4</f>
        <v>112290266254.39999</v>
      </c>
      <c r="F79" s="74">
        <f>5321666401.38</f>
        <v>5321666401.3800001</v>
      </c>
      <c r="G79" s="74">
        <f>2169050.37</f>
        <v>2169050.37</v>
      </c>
      <c r="H79" s="74">
        <f>664999.95</f>
        <v>664999.94999999995</v>
      </c>
      <c r="I79" s="74">
        <f>0</f>
        <v>0</v>
      </c>
      <c r="J79" s="43">
        <f>IF($D$79=0,"",100*$D79/$D$79)</f>
        <v>100</v>
      </c>
      <c r="K79" s="43">
        <f>IF(C79=0,"",100*D79/C79)</f>
        <v>21.686423870173794</v>
      </c>
      <c r="N79" s="53"/>
      <c r="O79" s="54"/>
    </row>
    <row r="80" spans="1:26" x14ac:dyDescent="0.2">
      <c r="B80" s="88" t="s">
        <v>12</v>
      </c>
      <c r="C80" s="75">
        <f>26194447749.47</f>
        <v>26194447749.470001</v>
      </c>
      <c r="D80" s="75">
        <f>2371370983.31</f>
        <v>2371370983.3099999</v>
      </c>
      <c r="E80" s="75">
        <f>12129702176.28</f>
        <v>12129702176.280001</v>
      </c>
      <c r="F80" s="75">
        <f>590527411.55</f>
        <v>590527411.54999995</v>
      </c>
      <c r="G80" s="75">
        <f>642860.54</f>
        <v>642860.54</v>
      </c>
      <c r="H80" s="75">
        <f>92963.2</f>
        <v>92963.199999999997</v>
      </c>
      <c r="I80" s="75">
        <f>0</f>
        <v>0</v>
      </c>
      <c r="J80" s="43">
        <f t="shared" ref="J80:J88" si="7">IF($D$79=0,"",100*$D80/$D$79)</f>
        <v>6.9354732482236647</v>
      </c>
      <c r="K80" s="43">
        <f t="shared" ref="K80:K88" si="8">IF(C80=0,"",100*D80/C80)</f>
        <v>9.0529527707182922</v>
      </c>
      <c r="N80" s="55"/>
      <c r="O80" s="54"/>
    </row>
    <row r="81" spans="2:15" ht="12.95" customHeight="1" outlineLevel="1" x14ac:dyDescent="0.2">
      <c r="B81" s="10" t="s">
        <v>11</v>
      </c>
      <c r="C81" s="69">
        <f>23865095989.13</f>
        <v>23865095989.130001</v>
      </c>
      <c r="D81" s="69">
        <f>1944001287.88</f>
        <v>1944001287.8800001</v>
      </c>
      <c r="E81" s="69">
        <f>11347830820.92</f>
        <v>11347830820.92</v>
      </c>
      <c r="F81" s="69">
        <f>541064814.79</f>
        <v>541064814.78999996</v>
      </c>
      <c r="G81" s="69">
        <f>642860.54</f>
        <v>642860.54</v>
      </c>
      <c r="H81" s="69">
        <f>92963.2</f>
        <v>92963.199999999997</v>
      </c>
      <c r="I81" s="69">
        <f>0</f>
        <v>0</v>
      </c>
      <c r="J81" s="43">
        <f t="shared" si="7"/>
        <v>5.6855587006402901</v>
      </c>
      <c r="K81" s="43">
        <f t="shared" si="8"/>
        <v>8.1457928715872239</v>
      </c>
      <c r="N81" s="29"/>
      <c r="O81" s="54"/>
    </row>
    <row r="82" spans="2:15" ht="25.5" customHeight="1" x14ac:dyDescent="0.2">
      <c r="B82" s="88" t="s">
        <v>48</v>
      </c>
      <c r="C82" s="75">
        <f t="shared" ref="C82:I82" si="9">C79-C80</f>
        <v>131470611572.29999</v>
      </c>
      <c r="D82" s="75">
        <f t="shared" si="9"/>
        <v>31820542076.369999</v>
      </c>
      <c r="E82" s="75">
        <f>E79-E80</f>
        <v>100160564078.12</v>
      </c>
      <c r="F82" s="75">
        <f t="shared" si="9"/>
        <v>4731138989.8299999</v>
      </c>
      <c r="G82" s="75">
        <f t="shared" si="9"/>
        <v>1526189.83</v>
      </c>
      <c r="H82" s="75">
        <f t="shared" si="9"/>
        <v>572036.75</v>
      </c>
      <c r="I82" s="75">
        <f t="shared" si="9"/>
        <v>0</v>
      </c>
      <c r="J82" s="43">
        <f t="shared" si="7"/>
        <v>93.064526751776327</v>
      </c>
      <c r="K82" s="43">
        <f t="shared" si="8"/>
        <v>24.203540012340206</v>
      </c>
      <c r="N82" s="55"/>
      <c r="O82" s="54"/>
    </row>
    <row r="83" spans="2:15" ht="24" customHeight="1" outlineLevel="1" x14ac:dyDescent="0.2">
      <c r="B83" s="10" t="s">
        <v>88</v>
      </c>
      <c r="C83" s="69">
        <f>56241703039.5301</f>
        <v>56241703039.530098</v>
      </c>
      <c r="D83" s="69">
        <f>15743723466.26</f>
        <v>15743723466.26</v>
      </c>
      <c r="E83" s="69">
        <f>49506766744.3601</f>
        <v>49506766744.3601</v>
      </c>
      <c r="F83" s="69">
        <f>2093423499.01</f>
        <v>2093423499.01</v>
      </c>
      <c r="G83" s="69">
        <f>12211.88</f>
        <v>12211.88</v>
      </c>
      <c r="H83" s="69">
        <f>13033.79</f>
        <v>13033.79</v>
      </c>
      <c r="I83" s="69">
        <f>0</f>
        <v>0</v>
      </c>
      <c r="J83" s="43">
        <f t="shared" si="7"/>
        <v>46.045166992499787</v>
      </c>
      <c r="K83" s="43">
        <f t="shared" si="8"/>
        <v>27.992970723511611</v>
      </c>
      <c r="N83" s="29"/>
      <c r="O83" s="54"/>
    </row>
    <row r="84" spans="2:15" ht="12.95" customHeight="1" outlineLevel="1" x14ac:dyDescent="0.2">
      <c r="B84" s="10" t="s">
        <v>34</v>
      </c>
      <c r="C84" s="76">
        <f>18892376395.91</f>
        <v>18892376395.91</v>
      </c>
      <c r="D84" s="76">
        <f>5285117371.71</f>
        <v>5285117371.71</v>
      </c>
      <c r="E84" s="76">
        <f>12772931938.24</f>
        <v>12772931938.24</v>
      </c>
      <c r="F84" s="76">
        <f>471891531.55</f>
        <v>471891531.55000001</v>
      </c>
      <c r="G84" s="76">
        <f>0</f>
        <v>0</v>
      </c>
      <c r="H84" s="76">
        <f>0</f>
        <v>0</v>
      </c>
      <c r="I84" s="76">
        <f>0</f>
        <v>0</v>
      </c>
      <c r="J84" s="43">
        <f t="shared" si="7"/>
        <v>15.457214583124186</v>
      </c>
      <c r="K84" s="43">
        <f t="shared" si="8"/>
        <v>27.974868068233977</v>
      </c>
      <c r="N84" s="56"/>
      <c r="O84" s="54"/>
    </row>
    <row r="85" spans="2:15" ht="12.95" customHeight="1" outlineLevel="1" x14ac:dyDescent="0.2">
      <c r="B85" s="10" t="s">
        <v>33</v>
      </c>
      <c r="C85" s="69">
        <f>3616506445.47</f>
        <v>3616506445.4699998</v>
      </c>
      <c r="D85" s="69">
        <f>576626247.3</f>
        <v>576626247.29999995</v>
      </c>
      <c r="E85" s="69">
        <f>2246022907.24</f>
        <v>2246022907.2399998</v>
      </c>
      <c r="F85" s="69">
        <f>241592185.56</f>
        <v>241592185.56</v>
      </c>
      <c r="G85" s="69">
        <f>0</f>
        <v>0</v>
      </c>
      <c r="H85" s="69">
        <f>0</f>
        <v>0</v>
      </c>
      <c r="I85" s="69">
        <f>0</f>
        <v>0</v>
      </c>
      <c r="J85" s="43">
        <f t="shared" si="7"/>
        <v>1.6864404348874316</v>
      </c>
      <c r="K85" s="43">
        <f t="shared" si="8"/>
        <v>15.944289219289965</v>
      </c>
      <c r="N85" s="29"/>
      <c r="O85" s="54"/>
    </row>
    <row r="86" spans="2:15" ht="22.5" customHeight="1" outlineLevel="1" x14ac:dyDescent="0.2">
      <c r="B86" s="10" t="s">
        <v>54</v>
      </c>
      <c r="C86" s="76">
        <f>188422807.57</f>
        <v>188422807.56999999</v>
      </c>
      <c r="D86" s="76">
        <f>2025029.21</f>
        <v>2025029.21</v>
      </c>
      <c r="E86" s="76">
        <f>13344637.94</f>
        <v>13344637.939999999</v>
      </c>
      <c r="F86" s="76">
        <f>0</f>
        <v>0</v>
      </c>
      <c r="G86" s="76">
        <f>0</f>
        <v>0</v>
      </c>
      <c r="H86" s="76">
        <f>0</f>
        <v>0</v>
      </c>
      <c r="I86" s="76">
        <f>0</f>
        <v>0</v>
      </c>
      <c r="J86" s="43">
        <f t="shared" si="7"/>
        <v>5.922538485826836E-3</v>
      </c>
      <c r="K86" s="43">
        <f t="shared" si="8"/>
        <v>1.0747261629926046</v>
      </c>
      <c r="N86" s="56"/>
      <c r="O86" s="54"/>
    </row>
    <row r="87" spans="2:15" ht="22.5" customHeight="1" outlineLevel="1" x14ac:dyDescent="0.2">
      <c r="B87" s="10" t="s">
        <v>55</v>
      </c>
      <c r="C87" s="76">
        <f>5684289179.19</f>
        <v>5684289179.1899996</v>
      </c>
      <c r="D87" s="76">
        <f>1656385426.94</f>
        <v>1656385426.9400001</v>
      </c>
      <c r="E87" s="76">
        <f>4328608613.62</f>
        <v>4328608613.6199999</v>
      </c>
      <c r="F87" s="76">
        <f>69604017.22</f>
        <v>69604017.219999999</v>
      </c>
      <c r="G87" s="76">
        <f>566888.2</f>
        <v>566888.19999999995</v>
      </c>
      <c r="H87" s="76">
        <f>7889.81</f>
        <v>7889.81</v>
      </c>
      <c r="I87" s="77">
        <f>0</f>
        <v>0</v>
      </c>
      <c r="J87" s="43">
        <f t="shared" si="7"/>
        <v>4.8443777452547785</v>
      </c>
      <c r="K87" s="43">
        <f t="shared" si="8"/>
        <v>29.139710783961764</v>
      </c>
      <c r="N87" s="56"/>
      <c r="O87" s="54"/>
    </row>
    <row r="88" spans="2:15" ht="12.95" customHeight="1" outlineLevel="1" x14ac:dyDescent="0.2">
      <c r="B88" s="10" t="s">
        <v>32</v>
      </c>
      <c r="C88" s="69">
        <f t="shared" ref="C88:I88" si="10">C82-C83-C84-C85-C86-C87</f>
        <v>46847313704.62989</v>
      </c>
      <c r="D88" s="69">
        <f t="shared" si="10"/>
        <v>8556664534.9499989</v>
      </c>
      <c r="E88" s="69">
        <f>E82-E83-E84-E85-E86-E87</f>
        <v>31292889236.719898</v>
      </c>
      <c r="F88" s="69">
        <f t="shared" si="10"/>
        <v>1854627756.4899995</v>
      </c>
      <c r="G88" s="69">
        <f t="shared" si="10"/>
        <v>947089.75000000023</v>
      </c>
      <c r="H88" s="69">
        <f t="shared" si="10"/>
        <v>551113.14999999991</v>
      </c>
      <c r="I88" s="77">
        <f t="shared" si="10"/>
        <v>0</v>
      </c>
      <c r="J88" s="43">
        <f t="shared" si="7"/>
        <v>25.025404457524321</v>
      </c>
      <c r="K88" s="43">
        <f t="shared" si="8"/>
        <v>18.265005735226072</v>
      </c>
      <c r="N88" s="29"/>
      <c r="O88" s="54"/>
    </row>
    <row r="89" spans="2:15" x14ac:dyDescent="0.2">
      <c r="B89" s="65" t="s">
        <v>13</v>
      </c>
      <c r="C89" s="75">
        <f>C5-C79</f>
        <v>-13566306773.72998</v>
      </c>
      <c r="D89" s="75">
        <f>D5-D79</f>
        <v>11710203276.959999</v>
      </c>
      <c r="E89" s="61"/>
      <c r="F89" s="55"/>
      <c r="G89" s="55"/>
      <c r="H89" s="55"/>
      <c r="I89" s="133"/>
      <c r="J89" s="133"/>
      <c r="K89" s="37"/>
      <c r="L89" s="37"/>
      <c r="M89" s="4"/>
      <c r="N89" s="54"/>
      <c r="O89" s="55"/>
    </row>
    <row r="90" spans="2:15" ht="25.5" x14ac:dyDescent="0.2">
      <c r="B90" s="112" t="s">
        <v>129</v>
      </c>
      <c r="C90" s="75">
        <f>+C69-C82</f>
        <v>1669762742.5400238</v>
      </c>
      <c r="D90" s="75">
        <f>+D69-D82</f>
        <v>12901743928.009998</v>
      </c>
      <c r="E90" s="61"/>
      <c r="F90" s="55"/>
      <c r="G90" s="55"/>
      <c r="H90" s="55"/>
      <c r="I90" s="55"/>
      <c r="J90" s="55"/>
      <c r="K90" s="37"/>
      <c r="L90" s="37"/>
      <c r="M90" s="4"/>
      <c r="N90" s="54"/>
      <c r="O90" s="55"/>
    </row>
    <row r="91" spans="2:15" outlineLevel="1" x14ac:dyDescent="0.2">
      <c r="B91" s="109"/>
      <c r="C91" s="110"/>
      <c r="D91" s="110"/>
      <c r="E91" s="55"/>
      <c r="F91" s="55"/>
      <c r="G91" s="55"/>
      <c r="H91" s="55"/>
      <c r="I91" s="55"/>
      <c r="J91" s="55"/>
      <c r="K91" s="37"/>
      <c r="L91" s="37"/>
      <c r="M91" s="4"/>
      <c r="N91" s="54"/>
      <c r="O91" s="55"/>
    </row>
    <row r="92" spans="2:15" outlineLevel="1" x14ac:dyDescent="0.2">
      <c r="B92" s="109"/>
      <c r="C92" s="110"/>
      <c r="D92" s="110"/>
      <c r="E92" s="55"/>
      <c r="F92" s="55"/>
      <c r="G92" s="55"/>
      <c r="H92" s="55"/>
      <c r="I92" s="55"/>
      <c r="J92" s="55"/>
      <c r="K92" s="37"/>
      <c r="L92" s="37"/>
      <c r="M92" s="4"/>
      <c r="N92" s="54"/>
      <c r="O92" s="55"/>
    </row>
    <row r="93" spans="2:15" ht="12.75" customHeight="1" outlineLevel="1" x14ac:dyDescent="0.2">
      <c r="B93" s="141" t="s">
        <v>125</v>
      </c>
      <c r="C93" s="142" t="s">
        <v>109</v>
      </c>
      <c r="D93" s="142"/>
      <c r="E93" s="142" t="s">
        <v>110</v>
      </c>
      <c r="F93" s="142"/>
      <c r="G93" s="113" t="s">
        <v>130</v>
      </c>
      <c r="H93" s="55"/>
      <c r="I93" s="55"/>
      <c r="J93" s="55"/>
      <c r="K93" s="37"/>
      <c r="L93" s="37"/>
      <c r="M93" s="4"/>
      <c r="N93" s="54"/>
      <c r="O93" s="55"/>
    </row>
    <row r="94" spans="2:15" outlineLevel="1" x14ac:dyDescent="0.2">
      <c r="B94" s="141"/>
      <c r="C94" s="114" t="s">
        <v>111</v>
      </c>
      <c r="D94" s="114" t="s">
        <v>112</v>
      </c>
      <c r="E94" s="114" t="s">
        <v>111</v>
      </c>
      <c r="F94" s="114" t="s">
        <v>112</v>
      </c>
      <c r="G94" s="114" t="s">
        <v>111</v>
      </c>
      <c r="H94" s="55"/>
      <c r="I94" s="55"/>
      <c r="J94" s="55"/>
      <c r="K94" s="37"/>
      <c r="L94" s="37"/>
      <c r="M94" s="4"/>
      <c r="N94" s="54"/>
      <c r="O94" s="55"/>
    </row>
    <row r="95" spans="2:15" outlineLevel="1" x14ac:dyDescent="0.2">
      <c r="B95" s="117" t="s">
        <v>126</v>
      </c>
      <c r="C95" s="115">
        <f>3</f>
        <v>3</v>
      </c>
      <c r="D95" s="118">
        <f>39188856.57</f>
        <v>39188856.57</v>
      </c>
      <c r="E95" s="115">
        <f>63</f>
        <v>63</v>
      </c>
      <c r="F95" s="118">
        <f>+-13605495630.3</f>
        <v>-13605495630.299999</v>
      </c>
      <c r="G95" s="115">
        <f>0</f>
        <v>0</v>
      </c>
      <c r="H95" s="55"/>
      <c r="I95" s="55"/>
      <c r="J95" s="55"/>
      <c r="K95" s="37"/>
      <c r="L95" s="37"/>
      <c r="M95" s="4"/>
      <c r="N95" s="54"/>
      <c r="O95" s="55"/>
    </row>
    <row r="96" spans="2:15" outlineLevel="1" x14ac:dyDescent="0.2">
      <c r="B96" s="117" t="s">
        <v>127</v>
      </c>
      <c r="C96" s="115">
        <f>66</f>
        <v>66</v>
      </c>
      <c r="D96" s="118">
        <f>11710203276.96</f>
        <v>11710203276.959999</v>
      </c>
      <c r="E96" s="115">
        <f>0</f>
        <v>0</v>
      </c>
      <c r="F96" s="118">
        <f>0</f>
        <v>0</v>
      </c>
      <c r="G96" s="115">
        <f>0</f>
        <v>0</v>
      </c>
      <c r="H96" s="55"/>
      <c r="I96" s="55"/>
      <c r="J96" s="55"/>
      <c r="K96" s="37"/>
      <c r="L96" s="37"/>
      <c r="M96" s="4"/>
      <c r="N96" s="54"/>
      <c r="O96" s="55"/>
    </row>
    <row r="97" spans="2:15" outlineLevel="1" x14ac:dyDescent="0.2">
      <c r="B97" s="116"/>
      <c r="C97" s="116"/>
      <c r="D97" s="116"/>
      <c r="E97" s="116"/>
      <c r="F97" s="116"/>
      <c r="G97" s="116"/>
      <c r="H97" s="55"/>
      <c r="I97" s="55"/>
      <c r="J97" s="55"/>
      <c r="K97" s="37"/>
      <c r="L97" s="37"/>
      <c r="M97" s="4"/>
      <c r="N97" s="54"/>
      <c r="O97" s="55"/>
    </row>
    <row r="98" spans="2:15" ht="12.75" customHeight="1" outlineLevel="1" x14ac:dyDescent="0.2">
      <c r="B98" s="141" t="s">
        <v>128</v>
      </c>
      <c r="C98" s="142" t="s">
        <v>109</v>
      </c>
      <c r="D98" s="142"/>
      <c r="E98" s="142" t="s">
        <v>110</v>
      </c>
      <c r="F98" s="142"/>
      <c r="G98" s="113" t="s">
        <v>130</v>
      </c>
      <c r="H98" s="55"/>
      <c r="I98" s="55"/>
      <c r="J98" s="55"/>
      <c r="K98" s="37"/>
      <c r="L98" s="37"/>
      <c r="M98" s="4"/>
      <c r="N98" s="54"/>
      <c r="O98" s="55"/>
    </row>
    <row r="99" spans="2:15" outlineLevel="1" x14ac:dyDescent="0.2">
      <c r="B99" s="141"/>
      <c r="C99" s="114" t="s">
        <v>111</v>
      </c>
      <c r="D99" s="114" t="s">
        <v>112</v>
      </c>
      <c r="E99" s="114" t="s">
        <v>111</v>
      </c>
      <c r="F99" s="114" t="s">
        <v>112</v>
      </c>
      <c r="G99" s="114" t="s">
        <v>111</v>
      </c>
      <c r="H99" s="55"/>
      <c r="I99" s="55"/>
      <c r="J99" s="55"/>
      <c r="K99" s="37"/>
      <c r="L99" s="37"/>
      <c r="M99" s="4"/>
      <c r="N99" s="54"/>
      <c r="O99" s="55"/>
    </row>
    <row r="100" spans="2:15" outlineLevel="1" x14ac:dyDescent="0.2">
      <c r="B100" s="117" t="s">
        <v>126</v>
      </c>
      <c r="C100" s="115">
        <f>47</f>
        <v>47</v>
      </c>
      <c r="D100" s="118">
        <f>2669796796.69</f>
        <v>2669796796.6900001</v>
      </c>
      <c r="E100" s="115">
        <f>19</f>
        <v>19</v>
      </c>
      <c r="F100" s="118">
        <f>+-1000034054.15</f>
        <v>-1000034054.15</v>
      </c>
      <c r="G100" s="115">
        <f>0</f>
        <v>0</v>
      </c>
      <c r="H100" s="55"/>
      <c r="I100" s="55"/>
      <c r="J100" s="55"/>
      <c r="K100" s="37"/>
      <c r="L100" s="37"/>
      <c r="M100" s="4"/>
      <c r="N100" s="54"/>
      <c r="O100" s="55"/>
    </row>
    <row r="101" spans="2:15" outlineLevel="1" x14ac:dyDescent="0.2">
      <c r="B101" s="117" t="s">
        <v>127</v>
      </c>
      <c r="C101" s="115">
        <f>66</f>
        <v>66</v>
      </c>
      <c r="D101" s="118">
        <f>12901743928.01</f>
        <v>12901743928.01</v>
      </c>
      <c r="E101" s="115">
        <f>0</f>
        <v>0</v>
      </c>
      <c r="F101" s="118">
        <f>0</f>
        <v>0</v>
      </c>
      <c r="G101" s="115">
        <f>0</f>
        <v>0</v>
      </c>
      <c r="H101" s="55"/>
      <c r="I101" s="55"/>
      <c r="J101" s="55"/>
      <c r="K101" s="37"/>
      <c r="L101" s="37"/>
      <c r="M101" s="4"/>
      <c r="N101" s="54"/>
      <c r="O101" s="55"/>
    </row>
    <row r="102" spans="2:15" outlineLevel="1" x14ac:dyDescent="0.2">
      <c r="B102" s="111"/>
      <c r="C102" s="111"/>
      <c r="D102" s="111"/>
      <c r="E102" s="111"/>
      <c r="F102" s="111"/>
      <c r="G102" s="55"/>
      <c r="H102" s="55"/>
      <c r="I102" s="55"/>
      <c r="J102" s="55"/>
      <c r="K102" s="37"/>
      <c r="L102" s="37"/>
      <c r="M102" s="4"/>
      <c r="N102" s="54"/>
      <c r="O102" s="55"/>
    </row>
    <row r="103" spans="2:15" x14ac:dyDescent="0.2">
      <c r="B103" s="38"/>
      <c r="C103" s="39"/>
      <c r="D103" s="39"/>
      <c r="E103" s="39"/>
      <c r="F103" s="40"/>
      <c r="G103" s="40"/>
      <c r="H103" s="40"/>
      <c r="I103" s="40"/>
      <c r="J103" s="41"/>
      <c r="K103" s="41"/>
      <c r="L103" s="42"/>
      <c r="M103" s="35"/>
    </row>
    <row r="104" spans="2:15" x14ac:dyDescent="0.2">
      <c r="B104" s="103" t="s">
        <v>91</v>
      </c>
      <c r="C104" s="57"/>
      <c r="D104" s="57"/>
      <c r="E104" s="57"/>
      <c r="F104" s="58"/>
      <c r="G104" s="58"/>
      <c r="H104" s="58"/>
      <c r="I104" s="58"/>
      <c r="J104" s="59"/>
      <c r="K104" s="59"/>
      <c r="L104" s="42"/>
      <c r="M104" s="35"/>
    </row>
    <row r="105" spans="2:15" ht="26.25" customHeight="1" x14ac:dyDescent="0.2">
      <c r="B105" s="65" t="s">
        <v>72</v>
      </c>
      <c r="C105" s="78">
        <f>5931906476.37</f>
        <v>5931906476.3699999</v>
      </c>
      <c r="D105" s="79">
        <f>553594841.59</f>
        <v>553594841.59000003</v>
      </c>
      <c r="E105" s="79">
        <f>2307874405.97</f>
        <v>2307874405.9699998</v>
      </c>
      <c r="F105" s="79">
        <f>179929517.44</f>
        <v>179929517.44</v>
      </c>
      <c r="G105" s="79">
        <f>0</f>
        <v>0</v>
      </c>
      <c r="H105" s="79">
        <f>0</f>
        <v>0</v>
      </c>
      <c r="I105" s="79">
        <f>0</f>
        <v>0</v>
      </c>
      <c r="J105" s="62">
        <f>IF($D$105=0,"",100*$D105/$D$105)</f>
        <v>100</v>
      </c>
      <c r="K105" s="43">
        <f>IF(C105=0,"",100*D105/C105)</f>
        <v>9.3324944315165528</v>
      </c>
      <c r="L105" s="35"/>
    </row>
    <row r="106" spans="2:15" ht="15" customHeight="1" x14ac:dyDescent="0.2">
      <c r="B106" s="100" t="s">
        <v>59</v>
      </c>
      <c r="C106" s="80">
        <f>4770691054.73</f>
        <v>4770691054.7299995</v>
      </c>
      <c r="D106" s="76">
        <f>426546757.7</f>
        <v>426546757.69999999</v>
      </c>
      <c r="E106" s="76">
        <f>1981715395.98</f>
        <v>1981715395.98</v>
      </c>
      <c r="F106" s="76">
        <f>172784903.61</f>
        <v>172784903.61000001</v>
      </c>
      <c r="G106" s="76">
        <f>0</f>
        <v>0</v>
      </c>
      <c r="H106" s="76">
        <f>0</f>
        <v>0</v>
      </c>
      <c r="I106" s="76">
        <f>0</f>
        <v>0</v>
      </c>
      <c r="J106" s="62">
        <f>IF($D$105=0,"",100*$D106/$D$105)</f>
        <v>77.050349037736595</v>
      </c>
      <c r="K106" s="62">
        <f>IF(C106=0,"",100*D106/C106)</f>
        <v>8.9409847086428176</v>
      </c>
      <c r="L106" s="35"/>
    </row>
    <row r="107" spans="2:15" x14ac:dyDescent="0.2">
      <c r="B107" s="101" t="s">
        <v>60</v>
      </c>
      <c r="C107" s="80">
        <f>C105-C106</f>
        <v>1161215421.6400003</v>
      </c>
      <c r="D107" s="76">
        <f t="shared" ref="D107:I107" si="11">D105-D106</f>
        <v>127048083.89000005</v>
      </c>
      <c r="E107" s="76">
        <f t="shared" si="11"/>
        <v>326159009.98999977</v>
      </c>
      <c r="F107" s="76">
        <f t="shared" si="11"/>
        <v>7144613.8299999833</v>
      </c>
      <c r="G107" s="76">
        <f t="shared" si="11"/>
        <v>0</v>
      </c>
      <c r="H107" s="76">
        <f t="shared" si="11"/>
        <v>0</v>
      </c>
      <c r="I107" s="76">
        <f t="shared" si="11"/>
        <v>0</v>
      </c>
      <c r="J107" s="62">
        <f>IF($D$105=0,"",100*$D107/$D$105)</f>
        <v>22.949650962263409</v>
      </c>
      <c r="K107" s="62">
        <f>IF(C107=0,"",100*D107/C107)</f>
        <v>10.940957338524518</v>
      </c>
    </row>
    <row r="108" spans="2:15" ht="6" customHeight="1" x14ac:dyDescent="0.2"/>
    <row r="109" spans="2:15" ht="18" x14ac:dyDescent="0.2">
      <c r="B109" s="87" t="str">
        <f>CONCATENATE("Informacja z wykonania budżetów miast na prawach powiatu za ",$D$145," ",$C$146," rok    ",$C$148,"")</f>
        <v xml:space="preserve">Informacja z wykonania budżetów miast na prawach powiatu za I Kwartał 2025 rok    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</row>
    <row r="110" spans="2:15" ht="6.75" customHeight="1" x14ac:dyDescent="0.2"/>
    <row r="111" spans="2:15" x14ac:dyDescent="0.2">
      <c r="B111" s="13" t="s">
        <v>14</v>
      </c>
      <c r="C111" s="51" t="s">
        <v>15</v>
      </c>
      <c r="D111" s="8" t="s">
        <v>1</v>
      </c>
      <c r="E111" s="8" t="s">
        <v>20</v>
      </c>
      <c r="F111" s="8" t="s">
        <v>21</v>
      </c>
    </row>
    <row r="112" spans="2:15" x14ac:dyDescent="0.2">
      <c r="B112" s="13"/>
      <c r="C112" s="119" t="s">
        <v>61</v>
      </c>
      <c r="D112" s="120"/>
      <c r="E112" s="123" t="s">
        <v>4</v>
      </c>
      <c r="F112" s="124"/>
    </row>
    <row r="113" spans="2:6" x14ac:dyDescent="0.2">
      <c r="B113" s="11">
        <v>1</v>
      </c>
      <c r="C113" s="14">
        <v>2</v>
      </c>
      <c r="D113" s="12">
        <v>3</v>
      </c>
      <c r="E113" s="12">
        <v>4</v>
      </c>
      <c r="F113" s="12">
        <v>5</v>
      </c>
    </row>
    <row r="114" spans="2:6" ht="25.5" x14ac:dyDescent="0.2">
      <c r="B114" s="63" t="s">
        <v>49</v>
      </c>
      <c r="C114" s="81">
        <f>18010009291.62</f>
        <v>18010009291.619999</v>
      </c>
      <c r="D114" s="74">
        <f>8831894611.69</f>
        <v>8831894611.6900005</v>
      </c>
      <c r="E114" s="44">
        <f>IF($D$114=0,"",100*$D114/$D$114)</f>
        <v>100</v>
      </c>
      <c r="F114" s="36">
        <f t="shared" ref="F114:F121" si="12">IF(C114=0,"",100*D114/C114)</f>
        <v>49.038812077678678</v>
      </c>
    </row>
    <row r="115" spans="2:6" ht="22.5" x14ac:dyDescent="0.2">
      <c r="B115" s="96" t="s">
        <v>73</v>
      </c>
      <c r="C115" s="82">
        <f>12305761003.62</f>
        <v>12305761003.620001</v>
      </c>
      <c r="D115" s="71">
        <f>9825047.14</f>
        <v>9825047.1400000006</v>
      </c>
      <c r="E115" s="45">
        <f t="shared" ref="E115:E124" si="13">IF($D$114=0,"",100*$D115/$D$114)</f>
        <v>0.11124506770037146</v>
      </c>
      <c r="F115" s="46">
        <f t="shared" si="12"/>
        <v>7.9841036544670049E-2</v>
      </c>
    </row>
    <row r="116" spans="2:6" ht="11.25" customHeight="1" x14ac:dyDescent="0.2">
      <c r="B116" s="98" t="s">
        <v>74</v>
      </c>
      <c r="C116" s="83">
        <f>1101844000</f>
        <v>1101844000</v>
      </c>
      <c r="D116" s="70">
        <f>0</f>
        <v>0</v>
      </c>
      <c r="E116" s="47">
        <f t="shared" si="13"/>
        <v>0</v>
      </c>
      <c r="F116" s="43">
        <f t="shared" si="12"/>
        <v>0</v>
      </c>
    </row>
    <row r="117" spans="2:6" ht="12.95" customHeight="1" x14ac:dyDescent="0.2">
      <c r="B117" s="97" t="s">
        <v>75</v>
      </c>
      <c r="C117" s="83">
        <f>34036323.15</f>
        <v>34036323.149999999</v>
      </c>
      <c r="D117" s="70">
        <f>1690054.82</f>
        <v>1690054.82</v>
      </c>
      <c r="E117" s="47">
        <f t="shared" si="13"/>
        <v>1.9135812804684325E-2</v>
      </c>
      <c r="F117" s="43">
        <f t="shared" si="12"/>
        <v>4.9654447472244074</v>
      </c>
    </row>
    <row r="118" spans="2:6" ht="45.75" customHeight="1" x14ac:dyDescent="0.2">
      <c r="B118" s="97" t="s">
        <v>84</v>
      </c>
      <c r="C118" s="83">
        <f>50286368.98</f>
        <v>50286368.979999997</v>
      </c>
      <c r="D118" s="70">
        <f>156397366.15</f>
        <v>156397366.15000001</v>
      </c>
      <c r="E118" s="47">
        <f t="shared" si="13"/>
        <v>1.7708246421214151</v>
      </c>
      <c r="F118" s="43">
        <f t="shared" si="12"/>
        <v>311.01344026688963</v>
      </c>
    </row>
    <row r="119" spans="2:6" ht="35.25" customHeight="1" x14ac:dyDescent="0.2">
      <c r="B119" s="97" t="s">
        <v>80</v>
      </c>
      <c r="C119" s="83">
        <f>885398073.65</f>
        <v>885398073.64999998</v>
      </c>
      <c r="D119" s="70">
        <f>1530979428.85</f>
        <v>1530979428.8499999</v>
      </c>
      <c r="E119" s="47">
        <f t="shared" si="13"/>
        <v>17.334665959709</v>
      </c>
      <c r="F119" s="43">
        <f t="shared" si="12"/>
        <v>172.91424890260151</v>
      </c>
    </row>
    <row r="120" spans="2:6" ht="12.95" customHeight="1" x14ac:dyDescent="0.2">
      <c r="B120" s="97" t="s">
        <v>76</v>
      </c>
      <c r="C120" s="83">
        <f>0</f>
        <v>0</v>
      </c>
      <c r="D120" s="70">
        <f>0</f>
        <v>0</v>
      </c>
      <c r="E120" s="47">
        <f t="shared" si="13"/>
        <v>0</v>
      </c>
      <c r="F120" s="43" t="str">
        <f t="shared" si="12"/>
        <v/>
      </c>
    </row>
    <row r="121" spans="2:6" ht="35.25" customHeight="1" x14ac:dyDescent="0.2">
      <c r="B121" s="97" t="s">
        <v>79</v>
      </c>
      <c r="C121" s="83">
        <f>3995649664.47</f>
        <v>3995649664.4699998</v>
      </c>
      <c r="D121" s="70">
        <f>5967437556.67</f>
        <v>5967437556.6700001</v>
      </c>
      <c r="E121" s="47">
        <f t="shared" si="13"/>
        <v>67.566901769541374</v>
      </c>
      <c r="F121" s="43">
        <f t="shared" si="12"/>
        <v>149.34836779444092</v>
      </c>
    </row>
    <row r="122" spans="2:6" ht="56.25" x14ac:dyDescent="0.2">
      <c r="B122" s="106" t="s">
        <v>103</v>
      </c>
      <c r="C122" s="83">
        <f>0</f>
        <v>0</v>
      </c>
      <c r="D122" s="70">
        <f>11551343.69</f>
        <v>11551343.689999999</v>
      </c>
      <c r="E122" s="47">
        <f t="shared" si="13"/>
        <v>0.13079123107640464</v>
      </c>
      <c r="F122" s="43" t="str">
        <f t="shared" ref="F122:F130" si="14">IF(C122=0,"",100*D122/C122)</f>
        <v/>
      </c>
    </row>
    <row r="123" spans="2:6" x14ac:dyDescent="0.2">
      <c r="B123" s="106" t="s">
        <v>99</v>
      </c>
      <c r="C123" s="83">
        <f>738877857.75</f>
        <v>738877857.75</v>
      </c>
      <c r="D123" s="70">
        <f>1154013814.37</f>
        <v>1154013814.3699999</v>
      </c>
      <c r="E123" s="47">
        <f t="shared" si="13"/>
        <v>13.066435517046743</v>
      </c>
      <c r="F123" s="43">
        <f t="shared" si="14"/>
        <v>156.18465247884873</v>
      </c>
    </row>
    <row r="124" spans="2:6" ht="22.5" x14ac:dyDescent="0.2">
      <c r="B124" s="107" t="s">
        <v>100</v>
      </c>
      <c r="C124" s="83">
        <f>725377857.75</f>
        <v>725377857.75</v>
      </c>
      <c r="D124" s="70">
        <f>725377857.18</f>
        <v>725377857.17999995</v>
      </c>
      <c r="E124" s="47">
        <f t="shared" si="13"/>
        <v>8.2131625101128503</v>
      </c>
      <c r="F124" s="43">
        <f t="shared" si="14"/>
        <v>99.999999921420269</v>
      </c>
    </row>
    <row r="125" spans="2:6" ht="25.5" x14ac:dyDescent="0.2">
      <c r="B125" s="66" t="s">
        <v>50</v>
      </c>
      <c r="C125" s="84">
        <f>4443702517.89</f>
        <v>4443702517.8900003</v>
      </c>
      <c r="D125" s="74">
        <f>1793922701.54</f>
        <v>1793922701.54</v>
      </c>
      <c r="E125" s="48">
        <f t="shared" ref="E125:E130" si="15">IF($D$125=0,"",100*$D125/$D$125)</f>
        <v>100</v>
      </c>
      <c r="F125" s="36">
        <f t="shared" si="14"/>
        <v>40.369999889007126</v>
      </c>
    </row>
    <row r="126" spans="2:6" ht="22.5" x14ac:dyDescent="0.2">
      <c r="B126" s="97" t="s">
        <v>77</v>
      </c>
      <c r="C126" s="83">
        <f>4384951026.89</f>
        <v>4384951026.8900003</v>
      </c>
      <c r="D126" s="70">
        <f>801889377.54</f>
        <v>801889377.53999996</v>
      </c>
      <c r="E126" s="47">
        <f t="shared" si="15"/>
        <v>44.700330557811377</v>
      </c>
      <c r="F126" s="43">
        <f t="shared" si="14"/>
        <v>18.2873052087137</v>
      </c>
    </row>
    <row r="127" spans="2:6" ht="12.95" customHeight="1" x14ac:dyDescent="0.2">
      <c r="B127" s="98" t="s">
        <v>78</v>
      </c>
      <c r="C127" s="83">
        <f>273845000</f>
        <v>273845000</v>
      </c>
      <c r="D127" s="70">
        <f>0</f>
        <v>0</v>
      </c>
      <c r="E127" s="47">
        <f t="shared" si="15"/>
        <v>0</v>
      </c>
      <c r="F127" s="43">
        <f t="shared" si="14"/>
        <v>0</v>
      </c>
    </row>
    <row r="128" spans="2:6" ht="12.95" customHeight="1" x14ac:dyDescent="0.2">
      <c r="B128" s="97" t="s">
        <v>90</v>
      </c>
      <c r="C128" s="83">
        <f>45264991</f>
        <v>45264991</v>
      </c>
      <c r="D128" s="70">
        <f>26533324</f>
        <v>26533324</v>
      </c>
      <c r="E128" s="47">
        <f t="shared" si="15"/>
        <v>1.4790672963345837</v>
      </c>
      <c r="F128" s="43">
        <f t="shared" si="14"/>
        <v>58.617760467465907</v>
      </c>
    </row>
    <row r="129" spans="2:8" ht="12.95" customHeight="1" x14ac:dyDescent="0.2">
      <c r="B129" s="97" t="s">
        <v>101</v>
      </c>
      <c r="C129" s="83">
        <f>13486500</f>
        <v>13486500</v>
      </c>
      <c r="D129" s="70">
        <f>965500000</f>
        <v>965500000</v>
      </c>
      <c r="E129" s="47">
        <f t="shared" si="15"/>
        <v>53.820602145854039</v>
      </c>
      <c r="F129" s="43">
        <f t="shared" si="14"/>
        <v>7159.0108627145664</v>
      </c>
    </row>
    <row r="130" spans="2:8" ht="22.5" x14ac:dyDescent="0.2">
      <c r="B130" s="107" t="s">
        <v>102</v>
      </c>
      <c r="C130" s="83">
        <f>0</f>
        <v>0</v>
      </c>
      <c r="D130" s="70">
        <f>0</f>
        <v>0</v>
      </c>
      <c r="E130" s="47">
        <f t="shared" si="15"/>
        <v>0</v>
      </c>
      <c r="F130" s="43" t="str">
        <f t="shared" si="14"/>
        <v/>
      </c>
    </row>
    <row r="131" spans="2:8" x14ac:dyDescent="0.2">
      <c r="B131" s="26"/>
      <c r="C131" s="26"/>
      <c r="D131" s="26"/>
      <c r="E131" s="26"/>
      <c r="F131" s="26"/>
      <c r="G131" s="26"/>
      <c r="H131" s="26"/>
    </row>
    <row r="132" spans="2:8" x14ac:dyDescent="0.2">
      <c r="B132" s="13" t="s">
        <v>14</v>
      </c>
      <c r="C132" s="11" t="s">
        <v>15</v>
      </c>
      <c r="D132" s="11" t="s">
        <v>1</v>
      </c>
      <c r="E132" s="60"/>
    </row>
    <row r="133" spans="2:8" x14ac:dyDescent="0.2">
      <c r="B133" s="13"/>
      <c r="C133" s="121" t="s">
        <v>61</v>
      </c>
      <c r="D133" s="122"/>
      <c r="E133" s="60"/>
    </row>
    <row r="134" spans="2:8" x14ac:dyDescent="0.2">
      <c r="B134" s="11">
        <v>1</v>
      </c>
      <c r="C134" s="11">
        <v>2</v>
      </c>
      <c r="D134" s="11">
        <v>3</v>
      </c>
      <c r="E134" s="60"/>
    </row>
    <row r="135" spans="2:8" ht="36" customHeight="1" x14ac:dyDescent="0.2">
      <c r="B135" s="64" t="s">
        <v>104</v>
      </c>
      <c r="C135" s="83">
        <f>13605495630.3</f>
        <v>13605495630.299999</v>
      </c>
      <c r="D135" s="70">
        <f>0</f>
        <v>0</v>
      </c>
      <c r="E135" s="60"/>
    </row>
    <row r="136" spans="2:8" ht="33.75" x14ac:dyDescent="0.2">
      <c r="B136" s="102" t="s">
        <v>63</v>
      </c>
      <c r="C136" s="83">
        <f>728000858</f>
        <v>728000858</v>
      </c>
      <c r="D136" s="70">
        <f>0</f>
        <v>0</v>
      </c>
      <c r="E136" s="60"/>
    </row>
    <row r="137" spans="2:8" ht="12.95" customHeight="1" x14ac:dyDescent="0.2">
      <c r="B137" s="102" t="s">
        <v>64</v>
      </c>
      <c r="C137" s="83">
        <f>7817227364.08</f>
        <v>7817227364.0799999</v>
      </c>
      <c r="D137" s="70">
        <f>0</f>
        <v>0</v>
      </c>
      <c r="E137" s="60"/>
    </row>
    <row r="138" spans="2:8" ht="22.5" x14ac:dyDescent="0.2">
      <c r="B138" s="102" t="s">
        <v>65</v>
      </c>
      <c r="C138" s="83">
        <f>0</f>
        <v>0</v>
      </c>
      <c r="D138" s="70">
        <f>0</f>
        <v>0</v>
      </c>
      <c r="E138" s="60"/>
    </row>
    <row r="139" spans="2:8" ht="58.5" customHeight="1" x14ac:dyDescent="0.2">
      <c r="B139" s="102" t="s">
        <v>87</v>
      </c>
      <c r="C139" s="83">
        <f>50286368.98</f>
        <v>50286368.979999997</v>
      </c>
      <c r="D139" s="70">
        <f>0</f>
        <v>0</v>
      </c>
      <c r="E139" s="60"/>
    </row>
    <row r="140" spans="2:8" ht="78.75" x14ac:dyDescent="0.2">
      <c r="B140" s="102" t="s">
        <v>66</v>
      </c>
      <c r="C140" s="83">
        <f>3433771451.94</f>
        <v>3433771451.9400001</v>
      </c>
      <c r="D140" s="70">
        <f>0</f>
        <v>0</v>
      </c>
      <c r="E140" s="60"/>
    </row>
    <row r="141" spans="2:8" ht="147" customHeight="1" x14ac:dyDescent="0.2">
      <c r="B141" s="102" t="s">
        <v>85</v>
      </c>
      <c r="C141" s="83">
        <f>853474644.92</f>
        <v>853474644.91999996</v>
      </c>
      <c r="D141" s="70">
        <f>0</f>
        <v>0</v>
      </c>
      <c r="E141" s="35"/>
    </row>
    <row r="142" spans="2:8" ht="22.5" x14ac:dyDescent="0.2">
      <c r="B142" s="102" t="s">
        <v>86</v>
      </c>
      <c r="C142" s="83">
        <f>5757078.02</f>
        <v>5757078.0199999996</v>
      </c>
      <c r="D142" s="70">
        <f>0</f>
        <v>0</v>
      </c>
      <c r="E142" s="35"/>
    </row>
    <row r="143" spans="2:8" ht="22.5" x14ac:dyDescent="0.2">
      <c r="B143" s="108" t="s">
        <v>100</v>
      </c>
      <c r="C143" s="83">
        <f>716977864.36</f>
        <v>716977864.36000001</v>
      </c>
      <c r="D143" s="70">
        <f>0</f>
        <v>0</v>
      </c>
      <c r="E143" s="35"/>
    </row>
    <row r="144" spans="2:8" x14ac:dyDescent="0.2">
      <c r="B144" s="49"/>
      <c r="C144" s="41"/>
      <c r="D144" s="41"/>
      <c r="E144" s="41"/>
      <c r="F144" s="41"/>
      <c r="G144" s="41"/>
      <c r="H144" s="41"/>
    </row>
    <row r="145" spans="2:4" ht="12" customHeight="1" x14ac:dyDescent="0.2">
      <c r="B145" s="50" t="s">
        <v>51</v>
      </c>
      <c r="C145" s="50">
        <f>1</f>
        <v>1</v>
      </c>
      <c r="D145" s="50" t="str">
        <f>IF(C145=1,"I Kwartał",IF(C145=2,"II Kwartały",IF(C145=3,"III Kwartały",IF(C145=4,"IV Kwartały",IF(C145="M1","Styczeń",IF(C145="M11","Listopad",IF(C145="M12","Grudzień","-")))))))</f>
        <v>I Kwartał</v>
      </c>
    </row>
    <row r="146" spans="2:4" x14ac:dyDescent="0.2">
      <c r="B146" s="50" t="s">
        <v>52</v>
      </c>
      <c r="C146" s="85">
        <f>2025</f>
        <v>2025</v>
      </c>
      <c r="D146" s="49"/>
    </row>
    <row r="147" spans="2:4" x14ac:dyDescent="0.2">
      <c r="B147" s="50" t="s">
        <v>53</v>
      </c>
      <c r="C147" s="126" t="str">
        <f>"May 17 2025 12:00AM"</f>
        <v>May 17 2025 12:00AM</v>
      </c>
      <c r="D147" s="127"/>
    </row>
    <row r="148" spans="2:4" hidden="1" x14ac:dyDescent="0.2">
      <c r="B148" s="50" t="s">
        <v>56</v>
      </c>
      <c r="C148" s="86" t="str">
        <f>""</f>
        <v/>
      </c>
      <c r="D148" s="49"/>
    </row>
  </sheetData>
  <mergeCells count="26">
    <mergeCell ref="B93:B94"/>
    <mergeCell ref="C93:D93"/>
    <mergeCell ref="E93:F93"/>
    <mergeCell ref="B98:B99"/>
    <mergeCell ref="C98:D98"/>
    <mergeCell ref="E98:F98"/>
    <mergeCell ref="B2:B3"/>
    <mergeCell ref="C74:C76"/>
    <mergeCell ref="B74:B77"/>
    <mergeCell ref="J74:J76"/>
    <mergeCell ref="K74:K76"/>
    <mergeCell ref="F75:F76"/>
    <mergeCell ref="F74:H74"/>
    <mergeCell ref="I74:I76"/>
    <mergeCell ref="C77:I77"/>
    <mergeCell ref="J3:L3"/>
    <mergeCell ref="C3:I3"/>
    <mergeCell ref="G75:H75"/>
    <mergeCell ref="I89:J89"/>
    <mergeCell ref="D74:D76"/>
    <mergeCell ref="E74:E76"/>
    <mergeCell ref="C112:D112"/>
    <mergeCell ref="C133:D133"/>
    <mergeCell ref="E112:F112"/>
    <mergeCell ref="J77:K77"/>
    <mergeCell ref="C147:D147"/>
  </mergeCells>
  <phoneticPr fontId="0" type="noConversion"/>
  <printOptions horizontalCentered="1"/>
  <pageMargins left="0" right="0" top="0" bottom="0" header="0" footer="0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4" max="16383" man="1"/>
    <brk id="61" min="1" max="11" man="1"/>
    <brk id="71" max="16383" man="1"/>
    <brk id="108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2025-02-07T10:12:17Z</cp:lastPrinted>
  <dcterms:created xsi:type="dcterms:W3CDTF">2001-05-17T08:58:03Z</dcterms:created>
  <dcterms:modified xsi:type="dcterms:W3CDTF">2025-05-21T12:06:29Z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