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gpspgovpl-my.sharepoint.com/personal/khejduk_kg_straz_gov_pl/Documents/KG PSP/Płace/2023 rok/"/>
    </mc:Choice>
  </mc:AlternateContent>
  <xr:revisionPtr revIDLastSave="460" documentId="8_{90A786E7-CFF4-A943-BFC5-56AFA7B06300}" xr6:coauthVersionLast="47" xr6:coauthVersionMax="47" xr10:uidLastSave="{0A3609AC-8BD3-5843-BEFE-C458A1AB9F62}"/>
  <bookViews>
    <workbookView xWindow="0" yWindow="500" windowWidth="40960" windowHeight="20740" xr2:uid="{DE5FA656-267F-472B-BBE8-4E3FB8828A7F}"/>
  </bookViews>
  <sheets>
    <sheet name="Kalkulator" sheetId="22" r:id="rId1"/>
    <sheet name="Grupa" sheetId="4" state="hidden" r:id="rId2"/>
    <sheet name="Stopień" sheetId="3" state="hidden" r:id="rId3"/>
    <sheet name="Wysługa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2" l="1"/>
  <c r="H33" i="22"/>
  <c r="H34" i="22" s="1"/>
  <c r="H25" i="22"/>
  <c r="H6" i="22" s="1"/>
  <c r="J19" i="22"/>
  <c r="K19" i="22" s="1"/>
  <c r="J15" i="22"/>
  <c r="J10" i="22"/>
  <c r="K10" i="22" s="1"/>
  <c r="J8" i="22"/>
  <c r="I8" i="22"/>
  <c r="J4" i="22"/>
  <c r="I4" i="22"/>
  <c r="K8" i="22" l="1"/>
  <c r="L4" i="22"/>
  <c r="J16" i="22"/>
  <c r="K16" i="22" s="1"/>
  <c r="H26" i="22"/>
  <c r="J6" i="22"/>
  <c r="J11" i="22" s="1"/>
  <c r="I6" i="22"/>
  <c r="I21" i="22" s="1"/>
  <c r="J12" i="22"/>
  <c r="K12" i="22" s="1"/>
  <c r="K4" i="22"/>
  <c r="K15" i="22"/>
  <c r="E27" i="4"/>
  <c r="J13" i="22" l="1"/>
  <c r="L13" i="22" s="1"/>
  <c r="K17" i="22"/>
  <c r="J17" i="22"/>
  <c r="L17" i="22" s="1"/>
  <c r="L10" i="22"/>
  <c r="L15" i="22"/>
  <c r="K28" i="22"/>
  <c r="K6" i="22"/>
  <c r="L6" i="22"/>
  <c r="K11" i="22"/>
  <c r="K13" i="22" s="1"/>
  <c r="S2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5" i="4"/>
  <c r="Q8" i="4"/>
  <c r="Q9" i="4"/>
  <c r="Q10" i="4"/>
  <c r="Q11" i="4"/>
  <c r="Q12" i="4"/>
  <c r="Q16" i="4"/>
  <c r="Q24" i="4"/>
  <c r="Q5" i="4"/>
  <c r="L24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5" i="4"/>
  <c r="K23" i="4"/>
  <c r="K24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5" i="4"/>
  <c r="D29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6" i="4"/>
  <c r="I6" i="4"/>
  <c r="R6" i="4" s="1"/>
  <c r="I7" i="4"/>
  <c r="R7" i="4" s="1"/>
  <c r="I8" i="4"/>
  <c r="R8" i="4" s="1"/>
  <c r="I9" i="4"/>
  <c r="R9" i="4" s="1"/>
  <c r="I10" i="4"/>
  <c r="R10" i="4" s="1"/>
  <c r="I11" i="4"/>
  <c r="R11" i="4" s="1"/>
  <c r="I12" i="4"/>
  <c r="R12" i="4" s="1"/>
  <c r="I13" i="4"/>
  <c r="Q13" i="4" s="1"/>
  <c r="I14" i="4"/>
  <c r="R14" i="4" s="1"/>
  <c r="I15" i="4"/>
  <c r="R15" i="4" s="1"/>
  <c r="I16" i="4"/>
  <c r="R16" i="4" s="1"/>
  <c r="I17" i="4"/>
  <c r="R17" i="4" s="1"/>
  <c r="I18" i="4"/>
  <c r="R18" i="4" s="1"/>
  <c r="I19" i="4"/>
  <c r="R19" i="4" s="1"/>
  <c r="I20" i="4"/>
  <c r="R20" i="4" s="1"/>
  <c r="I21" i="4"/>
  <c r="R21" i="4" s="1"/>
  <c r="I22" i="4"/>
  <c r="R22" i="4" s="1"/>
  <c r="I23" i="4"/>
  <c r="R23" i="4" s="1"/>
  <c r="I24" i="4"/>
  <c r="I5" i="4"/>
  <c r="R5" i="4" s="1"/>
  <c r="J21" i="22" l="1"/>
  <c r="K21" i="22" s="1"/>
  <c r="Q19" i="4"/>
  <c r="Q20" i="4"/>
  <c r="Q18" i="4"/>
  <c r="Q17" i="4"/>
  <c r="Q23" i="4"/>
  <c r="Q15" i="4"/>
  <c r="Q7" i="4"/>
  <c r="Q22" i="4"/>
  <c r="Q14" i="4"/>
  <c r="Q6" i="4"/>
  <c r="R13" i="4"/>
  <c r="Q21" i="4"/>
  <c r="R24" i="4"/>
  <c r="L28" i="22" l="1"/>
  <c r="L21" i="22"/>
  <c r="K39" i="22"/>
  <c r="J39" i="22"/>
  <c r="L39" i="22" s="1"/>
</calcChain>
</file>

<file path=xl/sharedStrings.xml><?xml version="1.0" encoding="utf-8"?>
<sst xmlns="http://schemas.openxmlformats.org/spreadsheetml/2006/main" count="126" uniqueCount="101">
  <si>
    <t>Dodatek za stopień</t>
  </si>
  <si>
    <t>Posiadany dodatek służbowy</t>
  </si>
  <si>
    <t>Posiadany dodatek funkcyjny</t>
  </si>
  <si>
    <t>Grupa uposażenia zasadniczego</t>
  </si>
  <si>
    <t>Nr grupy</t>
  </si>
  <si>
    <t>Kwota w grupie 2022 rok</t>
  </si>
  <si>
    <t>Mnożnik w grupie</t>
  </si>
  <si>
    <t>Różnica pomiędzy grupą wyższą i niższą</t>
  </si>
  <si>
    <t>NOWY mnożnik w grupie od 2023 r.</t>
  </si>
  <si>
    <t>Kwota w grupie 2023 rok (zaokrąglenie)</t>
  </si>
  <si>
    <t>Generał brygadier</t>
  </si>
  <si>
    <t>gen.brygadier</t>
  </si>
  <si>
    <t>Nadbrygadier</t>
  </si>
  <si>
    <t>nadbryg.</t>
  </si>
  <si>
    <t>Starszy brygadier</t>
  </si>
  <si>
    <t>st.bryg.</t>
  </si>
  <si>
    <t>Brygadier</t>
  </si>
  <si>
    <t>bryg.</t>
  </si>
  <si>
    <t>Młodszy brygadier</t>
  </si>
  <si>
    <t>mł.bryg.</t>
  </si>
  <si>
    <t>Starszy kapitan</t>
  </si>
  <si>
    <t>st.kpt.</t>
  </si>
  <si>
    <t>Kapitan</t>
  </si>
  <si>
    <t>kpt.</t>
  </si>
  <si>
    <t>Młodszy kapitan</t>
  </si>
  <si>
    <t>mł.kpt.</t>
  </si>
  <si>
    <t>Aspirant sztabowy</t>
  </si>
  <si>
    <t>asp.sztab.</t>
  </si>
  <si>
    <t>Starszy aspirant</t>
  </si>
  <si>
    <t>st.asp.</t>
  </si>
  <si>
    <t>Aspirant</t>
  </si>
  <si>
    <t>asp.</t>
  </si>
  <si>
    <t>Młodszy aspirant</t>
  </si>
  <si>
    <t>mł.asp.</t>
  </si>
  <si>
    <t>Starszy ogniomistrz</t>
  </si>
  <si>
    <t>st.ogn.</t>
  </si>
  <si>
    <t>Ogniomistrz</t>
  </si>
  <si>
    <t>ogn.</t>
  </si>
  <si>
    <t>Młodszy ogniomistrz</t>
  </si>
  <si>
    <t>mł.ogn.</t>
  </si>
  <si>
    <t>Starszy sekcyjny</t>
  </si>
  <si>
    <t>st.sekc.</t>
  </si>
  <si>
    <t>Sekcyjny</t>
  </si>
  <si>
    <t>sekc.</t>
  </si>
  <si>
    <t>Starszy strażak</t>
  </si>
  <si>
    <t>st.str.</t>
  </si>
  <si>
    <t>Strażak</t>
  </si>
  <si>
    <t>str.</t>
  </si>
  <si>
    <t>Różnica</t>
  </si>
  <si>
    <t>Dodatek motywacyjny</t>
  </si>
  <si>
    <t>Kwota w grupie 2024 rok (zaokrąglenie)</t>
  </si>
  <si>
    <t>NOWY mnożnik w grupie od 2024 r.</t>
  </si>
  <si>
    <t>Różnica 2024-2023</t>
  </si>
  <si>
    <t>% wzrostu uposażenia zasadniczego</t>
  </si>
  <si>
    <t>Uposażenie</t>
  </si>
  <si>
    <t>Świadczenie za długoletnią służbę</t>
  </si>
  <si>
    <t>% świadczenia</t>
  </si>
  <si>
    <t>Różnica pomiędzy grupą wyższą i niższą 2023</t>
  </si>
  <si>
    <t>Podwyżka 2023</t>
  </si>
  <si>
    <t>% wzrostu</t>
  </si>
  <si>
    <t>Wyliczenie 15+</t>
  </si>
  <si>
    <t>Kwota bazowa 2023</t>
  </si>
  <si>
    <t>Dod.Stołeczny</t>
  </si>
  <si>
    <t>Dodatek stołeczny</t>
  </si>
  <si>
    <t>Tak</t>
  </si>
  <si>
    <t>Nie</t>
  </si>
  <si>
    <t>Data przeliczeniowa dd-mm-rrrr</t>
  </si>
  <si>
    <t>Kwota bazowa 2022</t>
  </si>
  <si>
    <t>Podwyżka 2023 
gr+sł.</t>
  </si>
  <si>
    <t>Podwyżka 2023 
grupa</t>
  </si>
  <si>
    <t>% wzrostu w grupie</t>
  </si>
  <si>
    <t>Średnia podwyżka (7,8%)</t>
  </si>
  <si>
    <t>% wzrostu grupa + staż</t>
  </si>
  <si>
    <t>Średnia podwyżka do 8% służb.</t>
  </si>
  <si>
    <t>Podwyżka służb.
(bez stażu)</t>
  </si>
  <si>
    <t>Średnia podwyżka dod.służb. I stażu</t>
  </si>
  <si>
    <t>Średnia</t>
  </si>
  <si>
    <t>2012 (I)</t>
  </si>
  <si>
    <t>2012 (X)</t>
  </si>
  <si>
    <t>2018 (I)</t>
  </si>
  <si>
    <t>2018 (V)</t>
  </si>
  <si>
    <t>Lata</t>
  </si>
  <si>
    <t>Proszę wybrać z listy</t>
  </si>
  <si>
    <t>Wzrost uposażenia zasadniczego 
z tytułu wysługi lat %</t>
  </si>
  <si>
    <t>Podwyższenie dodatku służbowego do 8%
(od 1.03. do 31.12.2023r)</t>
  </si>
  <si>
    <t>Podwyższenie dodatku służbowego
(od 1.03. do 31.12.2023r)</t>
  </si>
  <si>
    <t>Data na jaką liczymy wysługę 
(dd-mm-rrrr)</t>
  </si>
  <si>
    <t>Podwyższenie dodatku funkcyjnego
(od 1.03. do 31.12.2023r)</t>
  </si>
  <si>
    <t>% dod.sł.</t>
  </si>
  <si>
    <t>% dod.fun.</t>
  </si>
  <si>
    <t>nadbryg.Krzysztof Hejduk, Stanisław Rybicki</t>
  </si>
  <si>
    <r>
      <t xml:space="preserve">Liczymy tylko </t>
    </r>
    <r>
      <rPr>
        <b/>
        <u/>
        <sz val="11"/>
        <color theme="1"/>
        <rFont val="Calibri (Tekst podstawowy)"/>
        <charset val="238"/>
      </rPr>
      <t>lata służby</t>
    </r>
  </si>
  <si>
    <t>RAZEM BRUTTO :</t>
  </si>
  <si>
    <t xml:space="preserve">Razem brutto :  </t>
  </si>
  <si>
    <r>
      <t xml:space="preserve">Liczba wysługi lat zaliczanych 
do </t>
    </r>
    <r>
      <rPr>
        <b/>
        <u/>
        <sz val="11"/>
        <color theme="1"/>
        <rFont val="Calibri (Tekst podstawowy)"/>
        <charset val="238"/>
      </rPr>
      <t>pracy i służby</t>
    </r>
  </si>
  <si>
    <r>
      <t xml:space="preserve">Liczba wysługi </t>
    </r>
    <r>
      <rPr>
        <b/>
        <u/>
        <sz val="11"/>
        <color theme="1"/>
        <rFont val="Calibri (Tekst podstawowy)"/>
        <charset val="238"/>
      </rPr>
      <t>lat służby</t>
    </r>
  </si>
  <si>
    <t>Nowy dodatek służbowy</t>
  </si>
  <si>
    <t>Nowy dodatek funkcyjny</t>
  </si>
  <si>
    <t xml:space="preserve">Szablon opracował: </t>
  </si>
  <si>
    <r>
      <t xml:space="preserve">Kalkulator uposażeń PSP w 2023 roku </t>
    </r>
    <r>
      <rPr>
        <sz val="18"/>
        <color theme="1"/>
        <rFont val="Calibri"/>
        <family val="2"/>
        <scheme val="minor"/>
      </rPr>
      <t>*</t>
    </r>
  </si>
  <si>
    <t xml:space="preserve"> * kalkulacja poglądowa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</si>
</sst>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>
    <font>
      <sz val="11"/>
      <color theme="1"/>
      <name val="Calibri"/>
      <family val="2"/>
      <charset val="238"/>
      <scheme val="minor"/>
    </font>
    <font>
      <b/>
      <sz val="12"/>
      <color indexed="8"/>
      <name val="Arial CE"/>
      <family val="2"/>
      <charset val="238"/>
    </font>
    <font>
      <sz val="12"/>
      <color indexed="8"/>
      <name val="Arial CE"/>
    </font>
    <font>
      <b/>
      <sz val="12"/>
      <color indexed="10"/>
      <name val="Arial CE"/>
      <family val="2"/>
      <charset val="238"/>
    </font>
    <font>
      <sz val="12"/>
      <color indexed="8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 (Tekst podstawowy)"/>
      <charset val="238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2" borderId="3" xfId="0" applyNumberFormat="1" applyFont="1" applyFill="1" applyBorder="1"/>
    <xf numFmtId="4" fontId="3" fillId="2" borderId="4" xfId="0" applyNumberFormat="1" applyFont="1" applyFill="1" applyBorder="1"/>
    <xf numFmtId="164" fontId="2" fillId="2" borderId="5" xfId="0" applyNumberFormat="1" applyFont="1" applyFill="1" applyBorder="1"/>
    <xf numFmtId="4" fontId="2" fillId="2" borderId="6" xfId="0" applyNumberFormat="1" applyFont="1" applyFill="1" applyBorder="1"/>
    <xf numFmtId="164" fontId="4" fillId="2" borderId="4" xfId="0" applyNumberFormat="1" applyFont="1" applyFill="1" applyBorder="1"/>
    <xf numFmtId="4" fontId="3" fillId="2" borderId="4" xfId="0" quotePrefix="1" applyNumberFormat="1" applyFont="1" applyFill="1" applyBorder="1"/>
    <xf numFmtId="1" fontId="2" fillId="2" borderId="7" xfId="0" applyNumberFormat="1" applyFont="1" applyFill="1" applyBorder="1"/>
    <xf numFmtId="4" fontId="2" fillId="2" borderId="5" xfId="0" applyNumberFormat="1" applyFont="1" applyFill="1" applyBorder="1"/>
    <xf numFmtId="1" fontId="2" fillId="0" borderId="7" xfId="0" applyNumberFormat="1" applyFont="1" applyBorder="1"/>
    <xf numFmtId="164" fontId="2" fillId="0" borderId="5" xfId="0" applyNumberFormat="1" applyFont="1" applyBorder="1"/>
    <xf numFmtId="4" fontId="2" fillId="0" borderId="5" xfId="0" applyNumberFormat="1" applyFont="1" applyBorder="1"/>
    <xf numFmtId="1" fontId="2" fillId="0" borderId="8" xfId="0" applyNumberFormat="1" applyFont="1" applyBorder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" fontId="0" fillId="0" borderId="0" xfId="0" quotePrefix="1" applyNumberFormat="1"/>
    <xf numFmtId="164" fontId="2" fillId="2" borderId="4" xfId="0" applyNumberFormat="1" applyFont="1" applyFill="1" applyBorder="1"/>
    <xf numFmtId="164" fontId="2" fillId="0" borderId="4" xfId="0" applyNumberFormat="1" applyFont="1" applyBorder="1"/>
    <xf numFmtId="10" fontId="0" fillId="0" borderId="0" xfId="0" applyNumberFormat="1"/>
    <xf numFmtId="2" fontId="0" fillId="0" borderId="0" xfId="0" applyNumberFormat="1"/>
    <xf numFmtId="4" fontId="2" fillId="2" borderId="4" xfId="0" quotePrefix="1" applyNumberFormat="1" applyFont="1" applyFill="1" applyBorder="1"/>
    <xf numFmtId="4" fontId="1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/>
    <xf numFmtId="4" fontId="8" fillId="0" borderId="5" xfId="0" applyNumberFormat="1" applyFont="1" applyBorder="1"/>
    <xf numFmtId="2" fontId="8" fillId="0" borderId="5" xfId="0" applyNumberFormat="1" applyFont="1" applyBorder="1"/>
    <xf numFmtId="4" fontId="2" fillId="2" borderId="5" xfId="0" quotePrefix="1" applyNumberFormat="1" applyFont="1" applyFill="1" applyBorder="1"/>
    <xf numFmtId="0" fontId="0" fillId="0" borderId="5" xfId="0" applyBorder="1"/>
    <xf numFmtId="3" fontId="0" fillId="0" borderId="0" xfId="0" applyNumberFormat="1"/>
    <xf numFmtId="0" fontId="10" fillId="0" borderId="0" xfId="1"/>
    <xf numFmtId="0" fontId="13" fillId="0" borderId="0" xfId="0" applyFont="1"/>
    <xf numFmtId="1" fontId="0" fillId="0" borderId="0" xfId="0" quotePrefix="1" applyNumberFormat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1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14" fontId="0" fillId="0" borderId="5" xfId="0" applyNumberFormat="1" applyBorder="1" applyAlignment="1">
      <alignment vertical="center"/>
    </xf>
    <xf numFmtId="1" fontId="0" fillId="0" borderId="5" xfId="0" quotePrefix="1" applyNumberFormat="1" applyBorder="1"/>
    <xf numFmtId="4" fontId="0" fillId="0" borderId="20" xfId="0" quotePrefix="1" applyNumberFormat="1" applyBorder="1"/>
    <xf numFmtId="0" fontId="13" fillId="0" borderId="0" xfId="0" applyFont="1" applyAlignment="1">
      <alignment vertical="center"/>
    </xf>
    <xf numFmtId="14" fontId="0" fillId="3" borderId="5" xfId="0" applyNumberFormat="1" applyFill="1" applyBorder="1" applyProtection="1">
      <protection locked="0"/>
    </xf>
    <xf numFmtId="4" fontId="0" fillId="3" borderId="17" xfId="0" quotePrefix="1" applyNumberForma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1" fontId="0" fillId="0" borderId="5" xfId="0" quotePrefix="1" applyNumberFormat="1" applyBorder="1" applyAlignment="1">
      <alignment vertical="center"/>
    </xf>
    <xf numFmtId="2" fontId="14" fillId="0" borderId="1" xfId="0" applyNumberFormat="1" applyFont="1" applyBorder="1" applyAlignment="1">
      <alignment horizontal="righ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0" fillId="0" borderId="21" xfId="0" quotePrefix="1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right" vertical="center"/>
    </xf>
    <xf numFmtId="4" fontId="0" fillId="0" borderId="23" xfId="0" applyNumberFormat="1" applyBorder="1" applyAlignment="1">
      <alignment vertical="center"/>
    </xf>
    <xf numFmtId="4" fontId="0" fillId="3" borderId="22" xfId="0" applyNumberForma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4" fontId="14" fillId="0" borderId="24" xfId="0" applyNumberFormat="1" applyFont="1" applyBorder="1" applyAlignment="1">
      <alignment horizontal="right" vertical="center"/>
    </xf>
    <xf numFmtId="4" fontId="0" fillId="0" borderId="22" xfId="0" applyNumberFormat="1" applyBorder="1" applyAlignment="1">
      <alignment vertical="center"/>
    </xf>
    <xf numFmtId="4" fontId="0" fillId="0" borderId="22" xfId="0" quotePrefix="1" applyNumberFormat="1" applyBorder="1" applyAlignment="1">
      <alignment vertical="center"/>
    </xf>
    <xf numFmtId="4" fontId="0" fillId="0" borderId="23" xfId="0" quotePrefix="1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15" fillId="0" borderId="22" xfId="0" applyNumberFormat="1" applyFont="1" applyBorder="1" applyAlignment="1">
      <alignment vertical="center"/>
    </xf>
    <xf numFmtId="0" fontId="14" fillId="0" borderId="24" xfId="0" applyFont="1" applyBorder="1" applyAlignment="1">
      <alignment horizontal="right" vertical="center"/>
    </xf>
    <xf numFmtId="0" fontId="16" fillId="0" borderId="0" xfId="0" applyFont="1" applyAlignment="1">
      <alignment wrapText="1"/>
    </xf>
    <xf numFmtId="4" fontId="0" fillId="0" borderId="25" xfId="0" applyNumberForma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3" xfId="0" quotePrefix="1" applyFont="1" applyBorder="1" applyAlignment="1">
      <alignment horizontal="right" vertical="center"/>
    </xf>
    <xf numFmtId="4" fontId="18" fillId="0" borderId="22" xfId="0" quotePrefix="1" applyNumberFormat="1" applyFont="1" applyBorder="1" applyAlignment="1">
      <alignment vertical="center"/>
    </xf>
    <xf numFmtId="2" fontId="18" fillId="0" borderId="22" xfId="0" applyNumberFormat="1" applyFont="1" applyBorder="1" applyAlignment="1">
      <alignment vertical="center"/>
    </xf>
    <xf numFmtId="4" fontId="6" fillId="0" borderId="22" xfId="0" quotePrefix="1" applyNumberFormat="1" applyFont="1" applyBorder="1" applyAlignment="1">
      <alignment vertical="center"/>
    </xf>
    <xf numFmtId="2" fontId="6" fillId="0" borderId="22" xfId="0" applyNumberFormat="1" applyFont="1" applyBorder="1" applyAlignment="1">
      <alignment vertical="center"/>
    </xf>
    <xf numFmtId="2" fontId="6" fillId="0" borderId="25" xfId="0" applyNumberFormat="1" applyFon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2" fontId="6" fillId="0" borderId="22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0" fillId="0" borderId="0" xfId="0" quotePrefix="1" applyFont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37E0-FECA-D34D-9CD9-DA52CBAF7CA2}">
  <dimension ref="A1:R42"/>
  <sheetViews>
    <sheetView tabSelected="1" topLeftCell="G1" zoomScale="120" zoomScaleNormal="120" workbookViewId="0">
      <selection activeCell="O28" sqref="O28"/>
    </sheetView>
  </sheetViews>
  <sheetFormatPr baseColWidth="10" defaultColWidth="8.83203125" defaultRowHeight="15"/>
  <cols>
    <col min="1" max="5" width="0" hidden="1" customWidth="1"/>
    <col min="6" max="6" width="1.33203125" hidden="1" customWidth="1"/>
    <col min="7" max="7" width="29.33203125" style="18" customWidth="1"/>
    <col min="8" max="8" width="15.5" customWidth="1"/>
    <col min="9" max="10" width="11.83203125" customWidth="1"/>
    <col min="11" max="11" width="10.83203125" customWidth="1"/>
    <col min="12" max="12" width="7.6640625" customWidth="1"/>
  </cols>
  <sheetData>
    <row r="1" spans="1:15" ht="24">
      <c r="A1" t="s">
        <v>82</v>
      </c>
      <c r="C1" t="s">
        <v>82</v>
      </c>
      <c r="G1" s="87" t="s">
        <v>99</v>
      </c>
      <c r="H1" s="87"/>
      <c r="I1" s="87"/>
      <c r="J1" s="87"/>
      <c r="K1" s="87"/>
      <c r="L1" s="87"/>
    </row>
    <row r="2" spans="1:15" ht="16" thickBot="1">
      <c r="A2">
        <v>1</v>
      </c>
      <c r="C2" t="s">
        <v>47</v>
      </c>
    </row>
    <row r="3" spans="1:15" ht="33" thickBot="1">
      <c r="A3">
        <v>2</v>
      </c>
      <c r="C3" t="s">
        <v>45</v>
      </c>
      <c r="G3" s="35"/>
      <c r="H3" s="36"/>
      <c r="I3" s="73">
        <v>44985</v>
      </c>
      <c r="J3" s="73">
        <v>44986</v>
      </c>
      <c r="K3" s="74" t="s">
        <v>48</v>
      </c>
      <c r="L3" s="74" t="s">
        <v>59</v>
      </c>
    </row>
    <row r="4" spans="1:15" ht="16">
      <c r="A4">
        <v>3</v>
      </c>
      <c r="C4" t="s">
        <v>43</v>
      </c>
      <c r="G4" s="37" t="s">
        <v>3</v>
      </c>
      <c r="H4" s="58">
        <v>5</v>
      </c>
      <c r="I4" s="72">
        <f>VLOOKUP($H$4,Grupa!$A$5:$I$24,2,1)</f>
        <v>3060</v>
      </c>
      <c r="J4" s="72">
        <f>VLOOKUP($H$4,Grupa!$A$5:$I$24,6,1)</f>
        <v>3370</v>
      </c>
      <c r="K4" s="72">
        <f>J4-I4</f>
        <v>310</v>
      </c>
      <c r="L4" s="80">
        <f>ROUND(J4/I4%-100,2)</f>
        <v>10.130000000000001</v>
      </c>
      <c r="N4" s="16"/>
    </row>
    <row r="5" spans="1:15">
      <c r="A5">
        <v>4</v>
      </c>
      <c r="C5" t="s">
        <v>41</v>
      </c>
      <c r="G5" s="38"/>
      <c r="I5" s="61"/>
      <c r="J5" s="61"/>
      <c r="K5" s="61"/>
      <c r="L5" s="81"/>
    </row>
    <row r="6" spans="1:15" ht="32">
      <c r="A6">
        <v>5</v>
      </c>
      <c r="C6" t="s">
        <v>39</v>
      </c>
      <c r="G6" s="37" t="s">
        <v>83</v>
      </c>
      <c r="H6" s="59">
        <f>IF(VLOOKUP($H$25,Wysługa!$A$2:$B$37,2,1)&gt;=2,VLOOKUP($H$25,Wysługa!$A$2:$B$37,2,1),0)</f>
        <v>24</v>
      </c>
      <c r="I6" s="60">
        <f>ROUND(I4*$H$6/100,2)</f>
        <v>734.4</v>
      </c>
      <c r="J6" s="60">
        <f>ROUND(J4*$H$6/100,2)</f>
        <v>808.8</v>
      </c>
      <c r="K6" s="60">
        <f>J6-I6</f>
        <v>74.399999999999977</v>
      </c>
      <c r="L6" s="82">
        <f>ROUND(J6/I6%-100,2)</f>
        <v>10.130000000000001</v>
      </c>
    </row>
    <row r="7" spans="1:15">
      <c r="A7">
        <v>6</v>
      </c>
      <c r="C7" t="s">
        <v>37</v>
      </c>
      <c r="G7" s="38"/>
      <c r="H7" s="16"/>
      <c r="I7" s="61"/>
      <c r="J7" s="61"/>
      <c r="K7" s="61"/>
      <c r="L7" s="63"/>
    </row>
    <row r="8" spans="1:15" ht="16">
      <c r="A8">
        <v>7</v>
      </c>
      <c r="C8" t="s">
        <v>35</v>
      </c>
      <c r="G8" s="84" t="s">
        <v>0</v>
      </c>
      <c r="H8" s="58" t="s">
        <v>37</v>
      </c>
      <c r="I8" s="60">
        <f>VLOOKUP($H$8,Stopień!$C$1:$D$19,2,0)</f>
        <v>1732</v>
      </c>
      <c r="J8" s="60">
        <f>VLOOKUP($H$8,Stopień!$C$1:$D$19,2,0)</f>
        <v>1732</v>
      </c>
      <c r="K8" s="60">
        <f>J8-I8</f>
        <v>0</v>
      </c>
      <c r="L8" s="63"/>
      <c r="O8" s="32"/>
    </row>
    <row r="9" spans="1:15">
      <c r="A9">
        <v>8</v>
      </c>
      <c r="C9" t="s">
        <v>33</v>
      </c>
      <c r="G9" s="38"/>
      <c r="H9" s="17"/>
      <c r="I9" s="61"/>
      <c r="J9" s="61"/>
      <c r="K9" s="61"/>
      <c r="L9" s="75" t="s">
        <v>88</v>
      </c>
    </row>
    <row r="10" spans="1:15" ht="16">
      <c r="A10">
        <v>9</v>
      </c>
      <c r="C10" t="s">
        <v>31</v>
      </c>
      <c r="G10" s="84" t="s">
        <v>1</v>
      </c>
      <c r="I10" s="62">
        <v>450</v>
      </c>
      <c r="J10" s="65">
        <f>I10</f>
        <v>450</v>
      </c>
      <c r="K10" s="65">
        <f>J10-I10</f>
        <v>0</v>
      </c>
      <c r="L10" s="68">
        <f>ROUND(J10/(J4+J6+J8)%,2)</f>
        <v>7.61</v>
      </c>
    </row>
    <row r="11" spans="1:15" ht="28" customHeight="1">
      <c r="A11">
        <v>10</v>
      </c>
      <c r="C11" t="s">
        <v>29</v>
      </c>
      <c r="G11" s="85" t="s">
        <v>84</v>
      </c>
      <c r="I11" s="61"/>
      <c r="J11" s="66">
        <f>IF(J10&gt;0,ROUND(IF(J10/(J4+J6+J8)&lt;0.08,(J4+J6+J8)*0.08-J10,0),2),0)</f>
        <v>22.86</v>
      </c>
      <c r="K11" s="65">
        <f t="shared" ref="K11:K21" si="0">J11-I11</f>
        <v>22.86</v>
      </c>
      <c r="L11" s="69"/>
      <c r="N11" s="16"/>
      <c r="O11" s="23"/>
    </row>
    <row r="12" spans="1:15" ht="27" customHeight="1">
      <c r="A12">
        <v>11</v>
      </c>
      <c r="C12" t="s">
        <v>27</v>
      </c>
      <c r="G12" s="85" t="s">
        <v>85</v>
      </c>
      <c r="I12" s="61"/>
      <c r="J12" s="66">
        <f>IF(J10&gt;0,VLOOKUP($H$4,Grupa!$A$5:$I$24,9,0)*H6/100+VLOOKUP($H$4,Grupa!$A$5:$I$24,9,0),0)</f>
        <v>12.4</v>
      </c>
      <c r="K12" s="65">
        <f t="shared" si="0"/>
        <v>12.4</v>
      </c>
      <c r="L12" s="68"/>
    </row>
    <row r="13" spans="1:15" ht="16">
      <c r="A13">
        <v>12</v>
      </c>
      <c r="C13" t="s">
        <v>25</v>
      </c>
      <c r="G13" s="84" t="s">
        <v>96</v>
      </c>
      <c r="I13" s="61"/>
      <c r="J13" s="76">
        <f>SUM(J10:J12)</f>
        <v>485.26</v>
      </c>
      <c r="K13" s="76">
        <f>SUM(K10:K12)</f>
        <v>35.26</v>
      </c>
      <c r="L13" s="77">
        <f>ROUND(J13/(J4+J6+J8)%,2)</f>
        <v>8.2100000000000009</v>
      </c>
    </row>
    <row r="14" spans="1:15">
      <c r="A14">
        <v>13</v>
      </c>
      <c r="C14" t="s">
        <v>23</v>
      </c>
      <c r="G14" s="86"/>
      <c r="I14" s="61"/>
      <c r="J14" s="67"/>
      <c r="K14" s="61"/>
      <c r="L14" s="75" t="s">
        <v>89</v>
      </c>
    </row>
    <row r="15" spans="1:15" ht="27" customHeight="1">
      <c r="A15">
        <v>14</v>
      </c>
      <c r="C15" t="s">
        <v>21</v>
      </c>
      <c r="G15" s="84" t="s">
        <v>2</v>
      </c>
      <c r="I15" s="62">
        <v>0</v>
      </c>
      <c r="J15" s="65">
        <f>I15</f>
        <v>0</v>
      </c>
      <c r="K15" s="65">
        <f t="shared" si="0"/>
        <v>0</v>
      </c>
      <c r="L15" s="68">
        <f>ROUND(J15/(J4+J6+J8)%,2)</f>
        <v>0</v>
      </c>
    </row>
    <row r="16" spans="1:15" ht="26">
      <c r="A16">
        <v>15</v>
      </c>
      <c r="C16" t="s">
        <v>19</v>
      </c>
      <c r="G16" s="85" t="s">
        <v>87</v>
      </c>
      <c r="I16" s="61"/>
      <c r="J16" s="66">
        <f>ROUND(IF(J15&gt;0,VLOOKUP($H$4,Grupa!$A$5:$I$24,9,1)*H6/100+VLOOKUP($H$4,Grupa!$A$5:$I$24,9,1),0),2)</f>
        <v>0</v>
      </c>
      <c r="K16" s="65">
        <f t="shared" si="0"/>
        <v>0</v>
      </c>
      <c r="L16" s="68"/>
    </row>
    <row r="17" spans="1:18" ht="16">
      <c r="A17">
        <v>16</v>
      </c>
      <c r="C17" t="s">
        <v>17</v>
      </c>
      <c r="G17" s="84" t="s">
        <v>97</v>
      </c>
      <c r="I17" s="61"/>
      <c r="J17" s="78">
        <f>SUM(J15:J16)</f>
        <v>0</v>
      </c>
      <c r="K17" s="78">
        <f>SUM(K15:K16)</f>
        <v>0</v>
      </c>
      <c r="L17" s="79">
        <f>ROUND(J17/(J4+J6+J8)%,2)</f>
        <v>0</v>
      </c>
    </row>
    <row r="18" spans="1:18">
      <c r="A18">
        <v>17</v>
      </c>
      <c r="C18" t="s">
        <v>15</v>
      </c>
      <c r="G18" s="38"/>
      <c r="I18" s="61"/>
      <c r="J18" s="67"/>
      <c r="K18" s="61"/>
      <c r="L18" s="63"/>
    </row>
    <row r="19" spans="1:18" s="33" customFormat="1" ht="20" customHeight="1">
      <c r="A19" s="33">
        <v>18</v>
      </c>
      <c r="C19" s="33" t="s">
        <v>13</v>
      </c>
      <c r="G19" s="84" t="s">
        <v>49</v>
      </c>
      <c r="H19"/>
      <c r="I19" s="62">
        <v>0</v>
      </c>
      <c r="J19" s="65">
        <f>I19</f>
        <v>0</v>
      </c>
      <c r="K19" s="65">
        <f t="shared" si="0"/>
        <v>0</v>
      </c>
      <c r="L19" s="63"/>
    </row>
    <row r="20" spans="1:18">
      <c r="A20">
        <v>19</v>
      </c>
      <c r="C20" t="s">
        <v>11</v>
      </c>
      <c r="G20" s="39"/>
      <c r="I20" s="63"/>
      <c r="J20" s="63"/>
      <c r="K20" s="63"/>
      <c r="L20" s="63"/>
    </row>
    <row r="21" spans="1:18" ht="20" thickBot="1">
      <c r="A21">
        <v>20</v>
      </c>
      <c r="G21" s="90" t="s">
        <v>93</v>
      </c>
      <c r="H21" s="91"/>
      <c r="I21" s="64">
        <f>SUM(I4:I20)</f>
        <v>5976.4</v>
      </c>
      <c r="J21" s="64">
        <f>J4+J6+J8+J13+J17+J19</f>
        <v>6396.06</v>
      </c>
      <c r="K21" s="64">
        <f t="shared" si="0"/>
        <v>419.66000000000076</v>
      </c>
      <c r="L21" s="70">
        <f>ROUND(J21/I21%-100,2)</f>
        <v>7.02</v>
      </c>
    </row>
    <row r="22" spans="1:18">
      <c r="G22" s="39"/>
      <c r="L22" s="40"/>
    </row>
    <row r="23" spans="1:18" ht="17" customHeight="1">
      <c r="G23" s="84" t="s">
        <v>66</v>
      </c>
      <c r="H23" s="51">
        <v>35639</v>
      </c>
      <c r="L23" s="40"/>
    </row>
    <row r="24" spans="1:18" ht="32">
      <c r="A24" t="s">
        <v>82</v>
      </c>
      <c r="G24" s="84" t="s">
        <v>86</v>
      </c>
      <c r="H24" s="47">
        <v>44986</v>
      </c>
      <c r="L24" s="40"/>
    </row>
    <row r="25" spans="1:18" ht="32" customHeight="1">
      <c r="A25" t="s">
        <v>64</v>
      </c>
      <c r="G25" s="84" t="s">
        <v>94</v>
      </c>
      <c r="H25" s="56">
        <f>(YEAR(H24)-YEAR(H23))-IF(OR(MONTH(H24)&lt;MONTH(H23),AND(MONTH(H24)=MONTH(H23),DAY(H24)&lt;DAY(H23))),1,0)</f>
        <v>25</v>
      </c>
      <c r="I25" s="34"/>
      <c r="J25" s="34"/>
      <c r="L25" s="40"/>
    </row>
    <row r="26" spans="1:18" ht="17" customHeight="1" thickBot="1">
      <c r="A26" t="s">
        <v>65</v>
      </c>
      <c r="G26" s="83" t="s">
        <v>53</v>
      </c>
      <c r="H26" s="49">
        <f>IF(VLOOKUP($H$25,Wysługa!$A$2:$B$37,2,1)&gt;=2,VLOOKUP($H$25,Wysługa!$A$2:$B$37,2,1),0)</f>
        <v>24</v>
      </c>
      <c r="I26" s="41"/>
      <c r="J26" s="41"/>
      <c r="K26" s="41"/>
      <c r="L26" s="42"/>
    </row>
    <row r="27" spans="1:18" ht="10" customHeight="1" thickBot="1"/>
    <row r="28" spans="1:18" ht="21" thickBot="1">
      <c r="G28" s="43" t="s">
        <v>60</v>
      </c>
      <c r="H28" s="36"/>
      <c r="I28" s="36"/>
      <c r="J28" s="36"/>
      <c r="K28" s="54">
        <f>ROUND((J4+J6)*$H$34/100,2)</f>
        <v>459.67</v>
      </c>
      <c r="L28" s="57">
        <f>ROUND((J21+K28)/I21%-100,2)</f>
        <v>14.71</v>
      </c>
    </row>
    <row r="29" spans="1:18" ht="16">
      <c r="G29" s="39" t="s">
        <v>55</v>
      </c>
      <c r="L29" s="40"/>
    </row>
    <row r="30" spans="1:18" ht="16">
      <c r="G30" s="39" t="s">
        <v>91</v>
      </c>
      <c r="L30" s="40"/>
    </row>
    <row r="31" spans="1:18" ht="17" customHeight="1">
      <c r="G31" s="84" t="s">
        <v>66</v>
      </c>
      <c r="H31" s="51">
        <v>37170</v>
      </c>
      <c r="L31" s="40"/>
      <c r="R31" s="16"/>
    </row>
    <row r="32" spans="1:18" ht="32">
      <c r="G32" s="84" t="s">
        <v>86</v>
      </c>
      <c r="H32" s="47">
        <v>44986</v>
      </c>
      <c r="L32" s="40"/>
    </row>
    <row r="33" spans="7:12" ht="16">
      <c r="G33" s="84" t="s">
        <v>95</v>
      </c>
      <c r="H33" s="48">
        <f>(YEAR(H32)-YEAR(H31))-IF(OR(MONTH(H32)&lt;MONTH(H31),AND(MONTH(H32)=MONTH(H31),DAY(H32)&lt;DAY(H31))),1,0)</f>
        <v>21</v>
      </c>
      <c r="L33" s="40"/>
    </row>
    <row r="34" spans="7:12" ht="17" thickBot="1">
      <c r="G34" s="83" t="s">
        <v>56</v>
      </c>
      <c r="H34" s="49">
        <f>VLOOKUP($H$33,Wysługa!$D$2:$E$27,2,1)</f>
        <v>11</v>
      </c>
      <c r="I34" s="41"/>
      <c r="J34" s="41"/>
      <c r="K34" s="41"/>
      <c r="L34" s="42"/>
    </row>
    <row r="35" spans="7:12" ht="10" customHeight="1" thickBot="1">
      <c r="H35" s="19"/>
    </row>
    <row r="36" spans="7:12" ht="21" thickBot="1">
      <c r="G36" s="44" t="s">
        <v>63</v>
      </c>
      <c r="H36" s="52" t="s">
        <v>82</v>
      </c>
      <c r="I36" s="45"/>
      <c r="J36" s="45"/>
      <c r="K36" s="57">
        <f>IF(H36="Tak",Grupa!D29,0)</f>
        <v>0</v>
      </c>
      <c r="L36" s="46"/>
    </row>
    <row r="37" spans="7:12" ht="4" customHeight="1">
      <c r="H37" s="19"/>
    </row>
    <row r="38" spans="7:12" ht="16" thickBot="1"/>
    <row r="39" spans="7:12" s="50" customFormat="1" ht="30" customHeight="1" thickBot="1">
      <c r="G39" s="53"/>
      <c r="H39" s="89" t="s">
        <v>92</v>
      </c>
      <c r="I39" s="89"/>
      <c r="J39" s="54">
        <f>I21+K21+K28+K36</f>
        <v>6855.7300000000005</v>
      </c>
      <c r="K39" s="54">
        <f>K21+K28+K36</f>
        <v>879.33000000000084</v>
      </c>
      <c r="L39" s="55">
        <f>ROUND(J39/I21%-100,2)</f>
        <v>14.71</v>
      </c>
    </row>
    <row r="40" spans="7:12" ht="27" customHeight="1">
      <c r="G40" s="92" t="s">
        <v>100</v>
      </c>
    </row>
    <row r="41" spans="7:12">
      <c r="G41" s="71" t="s">
        <v>98</v>
      </c>
    </row>
    <row r="42" spans="7:12" ht="15" customHeight="1">
      <c r="G42" s="88" t="s">
        <v>90</v>
      </c>
      <c r="H42" s="88"/>
      <c r="I42" s="88"/>
    </row>
  </sheetData>
  <sheetProtection algorithmName="SHA-512" hashValue="nDWTeMbo2egkwhN+Ngfxo1viXnhB5qu7mDaYLImf8DSfVlUFtQT7WmvS/zKgVXqVjAj2D/GKTaAmnRiR8C57LQ==" saltValue="w5W4bNFGTxLIwZFdOtE2yw==" spinCount="100000" sheet="1" objects="1" scenarios="1"/>
  <mergeCells count="4">
    <mergeCell ref="G1:L1"/>
    <mergeCell ref="G42:I42"/>
    <mergeCell ref="H39:I39"/>
    <mergeCell ref="G21:H21"/>
  </mergeCells>
  <dataValidations count="3">
    <dataValidation type="list" allowBlank="1" showInputMessage="1" showErrorMessage="1" sqref="H36" xr:uid="{FC76A9C4-5EDA-C546-B4E4-1074F68F4AE8}">
      <formula1>$A$24:$A$26</formula1>
    </dataValidation>
    <dataValidation type="list" allowBlank="1" showInputMessage="1" showErrorMessage="1" sqref="H8" xr:uid="{094ED0C0-963B-9741-9B31-374B51F98506}">
      <formula1>$C$1:$C$20</formula1>
    </dataValidation>
    <dataValidation type="list" allowBlank="1" showInputMessage="1" showErrorMessage="1" sqref="H4" xr:uid="{A88893EF-8781-6445-9CC3-CD152E9AB61E}">
      <formula1>$A$1:$A$21</formula1>
    </dataValidation>
  </dataValidations>
  <pageMargins left="0.45" right="0.45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5AF1-5BCB-4E8E-B3D2-4F94DBB56689}">
  <dimension ref="A3:S53"/>
  <sheetViews>
    <sheetView workbookViewId="0">
      <selection activeCell="D35" sqref="D35"/>
    </sheetView>
  </sheetViews>
  <sheetFormatPr baseColWidth="10" defaultColWidth="8.83203125" defaultRowHeight="15"/>
  <cols>
    <col min="2" max="3" width="15.83203125" customWidth="1"/>
    <col min="4" max="6" width="17.33203125" customWidth="1"/>
    <col min="7" max="7" width="18.33203125" customWidth="1"/>
    <col min="8" max="8" width="18.5" customWidth="1"/>
    <col min="9" max="9" width="18.6640625" customWidth="1"/>
    <col min="10" max="10" width="14.5" customWidth="1"/>
    <col min="11" max="16" width="11.33203125" customWidth="1"/>
    <col min="17" max="17" width="11.6640625" customWidth="1"/>
    <col min="18" max="18" width="11.33203125" customWidth="1"/>
    <col min="19" max="19" width="11.83203125" customWidth="1"/>
  </cols>
  <sheetData>
    <row r="3" spans="1:19" ht="16" thickBot="1"/>
    <row r="4" spans="1:19" ht="69" thickBot="1">
      <c r="A4" s="1" t="s">
        <v>4</v>
      </c>
      <c r="B4" s="1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51</v>
      </c>
      <c r="H4" s="3" t="s">
        <v>50</v>
      </c>
      <c r="I4" s="1" t="s">
        <v>52</v>
      </c>
      <c r="J4" s="25" t="s">
        <v>57</v>
      </c>
      <c r="K4" s="25" t="s">
        <v>69</v>
      </c>
      <c r="L4" s="25" t="s">
        <v>70</v>
      </c>
      <c r="M4" s="25" t="s">
        <v>71</v>
      </c>
      <c r="N4" s="25" t="s">
        <v>72</v>
      </c>
      <c r="O4" s="25" t="s">
        <v>73</v>
      </c>
      <c r="P4" s="25" t="s">
        <v>75</v>
      </c>
      <c r="Q4" s="25" t="s">
        <v>74</v>
      </c>
      <c r="R4" s="25" t="s">
        <v>68</v>
      </c>
      <c r="S4" s="25" t="s">
        <v>58</v>
      </c>
    </row>
    <row r="5" spans="1:19" ht="16">
      <c r="A5" s="4">
        <v>1</v>
      </c>
      <c r="B5" s="5">
        <v>2550</v>
      </c>
      <c r="C5" s="6">
        <v>1.5770000000000002</v>
      </c>
      <c r="D5" s="7"/>
      <c r="E5" s="20">
        <v>1.6110000000000002</v>
      </c>
      <c r="F5" s="9">
        <v>2800</v>
      </c>
      <c r="G5" s="8">
        <v>1.6140000000000001</v>
      </c>
      <c r="H5" s="9">
        <v>2810</v>
      </c>
      <c r="I5" s="24">
        <f t="shared" ref="I5:I24" si="0">H5-F5</f>
        <v>10</v>
      </c>
      <c r="J5" s="26"/>
      <c r="K5" s="27">
        <f>F5-B5</f>
        <v>250</v>
      </c>
      <c r="L5" s="28">
        <f>ROUND(F5/B5%-100,2)</f>
        <v>9.8000000000000007</v>
      </c>
      <c r="M5" s="29">
        <v>264.47149972329828</v>
      </c>
      <c r="N5" s="29">
        <v>5.8984986209201606</v>
      </c>
      <c r="O5" s="29">
        <v>241.6712562257876</v>
      </c>
      <c r="P5" s="29">
        <v>11.388781405652708</v>
      </c>
      <c r="Q5" s="27">
        <f>I5</f>
        <v>10</v>
      </c>
      <c r="R5" s="27">
        <f>F5-B5+I5</f>
        <v>260</v>
      </c>
      <c r="S5" s="27">
        <f>M5+O5+P5</f>
        <v>517.53153735473859</v>
      </c>
    </row>
    <row r="6" spans="1:19" ht="16">
      <c r="A6" s="10">
        <v>2</v>
      </c>
      <c r="B6" s="5">
        <v>2820</v>
      </c>
      <c r="C6" s="6">
        <v>1.7489999999999999</v>
      </c>
      <c r="D6" s="11">
        <v>270</v>
      </c>
      <c r="E6" s="20">
        <v>1.7659999999999998</v>
      </c>
      <c r="F6" s="5">
        <v>3070</v>
      </c>
      <c r="G6" s="8">
        <v>1.7709999999999997</v>
      </c>
      <c r="H6" s="5">
        <v>3080</v>
      </c>
      <c r="I6" s="24">
        <f t="shared" si="0"/>
        <v>10</v>
      </c>
      <c r="J6" s="27">
        <f>F6-F5</f>
        <v>270</v>
      </c>
      <c r="K6" s="27">
        <f t="shared" ref="K6:K24" si="1">F6-B6</f>
        <v>250</v>
      </c>
      <c r="L6" s="28">
        <f t="shared" ref="L6:L23" si="2">ROUND(F6/B6%-100,2)</f>
        <v>8.8699999999999992</v>
      </c>
      <c r="M6" s="29">
        <v>0</v>
      </c>
      <c r="N6" s="29">
        <v>0</v>
      </c>
      <c r="O6" s="29">
        <v>0</v>
      </c>
      <c r="P6" s="29">
        <v>0</v>
      </c>
      <c r="Q6" s="27">
        <f t="shared" ref="Q6:Q24" si="3">I6</f>
        <v>10</v>
      </c>
      <c r="R6" s="27">
        <f t="shared" ref="R6:R24" si="4">F6-B6+I6</f>
        <v>260</v>
      </c>
      <c r="S6" s="27">
        <f t="shared" ref="S6:S25" si="5">M6+O6+P6</f>
        <v>0</v>
      </c>
    </row>
    <row r="7" spans="1:19" ht="16">
      <c r="A7" s="10">
        <v>3</v>
      </c>
      <c r="B7" s="5">
        <v>2930</v>
      </c>
      <c r="C7" s="6">
        <v>1.8129999999999999</v>
      </c>
      <c r="D7" s="11">
        <v>110</v>
      </c>
      <c r="E7" s="20">
        <v>1.8249999999999997</v>
      </c>
      <c r="F7" s="5">
        <v>3180</v>
      </c>
      <c r="G7" s="8">
        <v>1.825</v>
      </c>
      <c r="H7" s="5">
        <v>3180</v>
      </c>
      <c r="I7" s="24">
        <f t="shared" si="0"/>
        <v>0</v>
      </c>
      <c r="J7" s="27">
        <f t="shared" ref="J7:J24" si="6">F7-F6</f>
        <v>110</v>
      </c>
      <c r="K7" s="27">
        <f t="shared" si="1"/>
        <v>250</v>
      </c>
      <c r="L7" s="28">
        <f t="shared" si="2"/>
        <v>8.5299999999999994</v>
      </c>
      <c r="M7" s="29">
        <v>272.12890625</v>
      </c>
      <c r="N7" s="29">
        <v>5.3000628742558886</v>
      </c>
      <c r="O7" s="29">
        <v>185.597549278847</v>
      </c>
      <c r="P7" s="29">
        <v>0</v>
      </c>
      <c r="Q7" s="27">
        <f t="shared" si="3"/>
        <v>0</v>
      </c>
      <c r="R7" s="27">
        <f t="shared" si="4"/>
        <v>250</v>
      </c>
      <c r="S7" s="27">
        <f t="shared" si="5"/>
        <v>457.726455528847</v>
      </c>
    </row>
    <row r="8" spans="1:19" ht="16">
      <c r="A8" s="10">
        <v>4</v>
      </c>
      <c r="B8" s="5">
        <v>3030</v>
      </c>
      <c r="C8" s="6">
        <v>1.8759999999999999</v>
      </c>
      <c r="D8" s="11">
        <v>100</v>
      </c>
      <c r="E8" s="20">
        <v>1.8819999999999999</v>
      </c>
      <c r="F8" s="5">
        <v>3280</v>
      </c>
      <c r="G8" s="8">
        <v>1.8819999999999999</v>
      </c>
      <c r="H8" s="5">
        <v>3280</v>
      </c>
      <c r="I8" s="24">
        <f t="shared" si="0"/>
        <v>0</v>
      </c>
      <c r="J8" s="27">
        <f t="shared" si="6"/>
        <v>100</v>
      </c>
      <c r="K8" s="27">
        <f t="shared" si="1"/>
        <v>250</v>
      </c>
      <c r="L8" s="28">
        <f t="shared" si="2"/>
        <v>8.25</v>
      </c>
      <c r="M8" s="29">
        <v>281.52531411677751</v>
      </c>
      <c r="N8" s="29">
        <v>5.1172927915931945</v>
      </c>
      <c r="O8" s="29">
        <v>118.13433702882429</v>
      </c>
      <c r="P8" s="29">
        <v>0</v>
      </c>
      <c r="Q8" s="27">
        <f t="shared" si="3"/>
        <v>0</v>
      </c>
      <c r="R8" s="27">
        <f t="shared" si="4"/>
        <v>250</v>
      </c>
      <c r="S8" s="27">
        <f t="shared" si="5"/>
        <v>399.6596511456018</v>
      </c>
    </row>
    <row r="9" spans="1:19" ht="16">
      <c r="A9" s="10">
        <v>5</v>
      </c>
      <c r="B9" s="5">
        <v>3060</v>
      </c>
      <c r="C9" s="6">
        <v>1.8960000000000004</v>
      </c>
      <c r="D9" s="11">
        <v>30</v>
      </c>
      <c r="E9" s="20">
        <v>1.9360000000000004</v>
      </c>
      <c r="F9" s="5">
        <v>3370</v>
      </c>
      <c r="G9" s="8">
        <v>1.9420000000000004</v>
      </c>
      <c r="H9" s="5">
        <v>3380</v>
      </c>
      <c r="I9" s="24">
        <f t="shared" si="0"/>
        <v>10</v>
      </c>
      <c r="J9" s="27">
        <f t="shared" si="6"/>
        <v>90</v>
      </c>
      <c r="K9" s="27">
        <f t="shared" si="1"/>
        <v>310</v>
      </c>
      <c r="L9" s="28">
        <f t="shared" si="2"/>
        <v>10.130000000000001</v>
      </c>
      <c r="M9" s="29">
        <v>356.24345850274989</v>
      </c>
      <c r="N9" s="29">
        <v>6.2253113911350111</v>
      </c>
      <c r="O9" s="29">
        <v>87.509042812723862</v>
      </c>
      <c r="P9" s="29">
        <v>12.079878497967229</v>
      </c>
      <c r="Q9" s="27">
        <f t="shared" si="3"/>
        <v>10</v>
      </c>
      <c r="R9" s="27">
        <f t="shared" si="4"/>
        <v>320</v>
      </c>
      <c r="S9" s="27">
        <f t="shared" si="5"/>
        <v>455.83237981344098</v>
      </c>
    </row>
    <row r="10" spans="1:19" ht="16">
      <c r="A10" s="10">
        <v>6</v>
      </c>
      <c r="B10" s="5">
        <v>3080</v>
      </c>
      <c r="C10" s="6">
        <v>1.9060000000000001</v>
      </c>
      <c r="D10" s="11">
        <v>20</v>
      </c>
      <c r="E10" s="20">
        <v>1.9860000000000002</v>
      </c>
      <c r="F10" s="5">
        <v>3460</v>
      </c>
      <c r="G10" s="8">
        <v>1.9980000000000002</v>
      </c>
      <c r="H10" s="5">
        <v>3480</v>
      </c>
      <c r="I10" s="24">
        <f t="shared" si="0"/>
        <v>20</v>
      </c>
      <c r="J10" s="27">
        <f t="shared" si="6"/>
        <v>90</v>
      </c>
      <c r="K10" s="27">
        <f t="shared" si="1"/>
        <v>380</v>
      </c>
      <c r="L10" s="28">
        <f t="shared" si="2"/>
        <v>12.34</v>
      </c>
      <c r="M10" s="29">
        <v>451.41877835951135</v>
      </c>
      <c r="N10" s="29">
        <v>7.5274082453993474</v>
      </c>
      <c r="O10" s="29">
        <v>35.164264572425282</v>
      </c>
      <c r="P10" s="29">
        <v>24.43007050610754</v>
      </c>
      <c r="Q10" s="27">
        <f t="shared" si="3"/>
        <v>20</v>
      </c>
      <c r="R10" s="27">
        <f t="shared" si="4"/>
        <v>400</v>
      </c>
      <c r="S10" s="27">
        <f t="shared" si="5"/>
        <v>511.01311343804417</v>
      </c>
    </row>
    <row r="11" spans="1:19" ht="16">
      <c r="A11" s="10">
        <v>7</v>
      </c>
      <c r="B11" s="5">
        <v>3110</v>
      </c>
      <c r="C11" s="6">
        <v>1.9260000000000002</v>
      </c>
      <c r="D11" s="11">
        <v>30</v>
      </c>
      <c r="E11" s="20">
        <v>2.0410000000000004</v>
      </c>
      <c r="F11" s="5">
        <v>3550</v>
      </c>
      <c r="G11" s="8">
        <v>2.0580000000000003</v>
      </c>
      <c r="H11" s="5">
        <v>3580</v>
      </c>
      <c r="I11" s="24">
        <f t="shared" si="0"/>
        <v>30</v>
      </c>
      <c r="J11" s="27">
        <f t="shared" si="6"/>
        <v>90</v>
      </c>
      <c r="K11" s="27">
        <f t="shared" si="1"/>
        <v>440</v>
      </c>
      <c r="L11" s="28">
        <f t="shared" si="2"/>
        <v>14.15</v>
      </c>
      <c r="M11" s="29">
        <v>527.42633228839975</v>
      </c>
      <c r="N11" s="29">
        <v>8.4491619755542278</v>
      </c>
      <c r="O11" s="29">
        <v>19.004448560839364</v>
      </c>
      <c r="P11" s="29">
        <v>36.472969506977392</v>
      </c>
      <c r="Q11" s="27">
        <f t="shared" si="3"/>
        <v>30</v>
      </c>
      <c r="R11" s="27">
        <f t="shared" si="4"/>
        <v>470</v>
      </c>
      <c r="S11" s="27">
        <f t="shared" si="5"/>
        <v>582.90375035621651</v>
      </c>
    </row>
    <row r="12" spans="1:19" ht="16">
      <c r="A12" s="10">
        <v>8</v>
      </c>
      <c r="B12" s="5">
        <v>3150</v>
      </c>
      <c r="C12" s="6">
        <v>1.9500000000000002</v>
      </c>
      <c r="D12" s="11">
        <v>40</v>
      </c>
      <c r="E12" s="20">
        <v>2.0940000000000003</v>
      </c>
      <c r="F12" s="5">
        <v>3640</v>
      </c>
      <c r="G12" s="8">
        <v>2.117</v>
      </c>
      <c r="H12" s="5">
        <v>3680</v>
      </c>
      <c r="I12" s="24">
        <f t="shared" si="0"/>
        <v>40</v>
      </c>
      <c r="J12" s="27">
        <f t="shared" si="6"/>
        <v>90</v>
      </c>
      <c r="K12" s="27">
        <f t="shared" si="1"/>
        <v>490</v>
      </c>
      <c r="L12" s="28">
        <f t="shared" si="2"/>
        <v>15.56</v>
      </c>
      <c r="M12" s="29">
        <v>581.59434984520124</v>
      </c>
      <c r="N12" s="29">
        <v>8.961873724601503</v>
      </c>
      <c r="O12" s="29">
        <v>3.3237863777087568</v>
      </c>
      <c r="P12" s="29">
        <v>47.59893498451936</v>
      </c>
      <c r="Q12" s="27">
        <f t="shared" si="3"/>
        <v>40</v>
      </c>
      <c r="R12" s="27">
        <f t="shared" si="4"/>
        <v>530</v>
      </c>
      <c r="S12" s="27">
        <f t="shared" si="5"/>
        <v>632.51707120742935</v>
      </c>
    </row>
    <row r="13" spans="1:19" ht="16">
      <c r="A13" s="10">
        <v>9</v>
      </c>
      <c r="B13" s="5">
        <v>3170</v>
      </c>
      <c r="C13" s="6">
        <v>1.9610000000000003</v>
      </c>
      <c r="D13" s="11">
        <v>20</v>
      </c>
      <c r="E13" s="20">
        <v>2.1450000000000005</v>
      </c>
      <c r="F13" s="5">
        <v>3730</v>
      </c>
      <c r="G13" s="8">
        <v>2.1740000000000004</v>
      </c>
      <c r="H13" s="5">
        <v>3780</v>
      </c>
      <c r="I13" s="24">
        <f t="shared" si="0"/>
        <v>50</v>
      </c>
      <c r="J13" s="27">
        <f t="shared" si="6"/>
        <v>90</v>
      </c>
      <c r="K13" s="27">
        <f t="shared" si="1"/>
        <v>560</v>
      </c>
      <c r="L13" s="28">
        <f t="shared" si="2"/>
        <v>17.670000000000002</v>
      </c>
      <c r="M13" s="29">
        <v>671.87818877550501</v>
      </c>
      <c r="N13" s="29">
        <v>9.9958069757539647</v>
      </c>
      <c r="O13" s="29">
        <v>1.6257015306125595</v>
      </c>
      <c r="P13" s="29">
        <v>60.102901785714266</v>
      </c>
      <c r="Q13" s="27">
        <f t="shared" si="3"/>
        <v>50</v>
      </c>
      <c r="R13" s="27">
        <f t="shared" si="4"/>
        <v>610</v>
      </c>
      <c r="S13" s="27">
        <f t="shared" si="5"/>
        <v>733.60679209183184</v>
      </c>
    </row>
    <row r="14" spans="1:19" ht="16">
      <c r="A14" s="10">
        <v>10</v>
      </c>
      <c r="B14" s="5">
        <v>3260</v>
      </c>
      <c r="C14" s="6">
        <v>2.02</v>
      </c>
      <c r="D14" s="11">
        <v>90</v>
      </c>
      <c r="E14" s="20">
        <v>2.1920000000000002</v>
      </c>
      <c r="F14" s="5">
        <v>3820</v>
      </c>
      <c r="G14" s="8">
        <v>2.2270000000000003</v>
      </c>
      <c r="H14" s="5">
        <v>3880</v>
      </c>
      <c r="I14" s="24">
        <f t="shared" si="0"/>
        <v>60</v>
      </c>
      <c r="J14" s="27">
        <f t="shared" si="6"/>
        <v>90</v>
      </c>
      <c r="K14" s="27">
        <f t="shared" si="1"/>
        <v>560</v>
      </c>
      <c r="L14" s="28">
        <f t="shared" si="2"/>
        <v>17.18</v>
      </c>
      <c r="M14" s="29">
        <v>683.10159689253192</v>
      </c>
      <c r="N14" s="29">
        <v>9.3886838821706817</v>
      </c>
      <c r="O14" s="29">
        <v>0.27648856279665779</v>
      </c>
      <c r="P14" s="29">
        <v>73.204640483384651</v>
      </c>
      <c r="Q14" s="27">
        <f t="shared" si="3"/>
        <v>60</v>
      </c>
      <c r="R14" s="27">
        <f t="shared" si="4"/>
        <v>620</v>
      </c>
      <c r="S14" s="27">
        <f t="shared" si="5"/>
        <v>756.58272593871322</v>
      </c>
    </row>
    <row r="15" spans="1:19" ht="16">
      <c r="A15" s="10">
        <v>11</v>
      </c>
      <c r="B15" s="5">
        <v>3350</v>
      </c>
      <c r="C15" s="6">
        <v>2.0740000000000003</v>
      </c>
      <c r="D15" s="11">
        <v>90</v>
      </c>
      <c r="E15" s="20">
        <v>2.2460000000000004</v>
      </c>
      <c r="F15" s="5">
        <v>3910</v>
      </c>
      <c r="G15" s="8">
        <v>2.2870000000000004</v>
      </c>
      <c r="H15" s="5">
        <v>3980</v>
      </c>
      <c r="I15" s="24">
        <f t="shared" si="0"/>
        <v>70</v>
      </c>
      <c r="J15" s="27">
        <f t="shared" si="6"/>
        <v>90</v>
      </c>
      <c r="K15" s="27">
        <f t="shared" si="1"/>
        <v>560</v>
      </c>
      <c r="L15" s="28">
        <f t="shared" si="2"/>
        <v>16.72</v>
      </c>
      <c r="M15" s="29">
        <v>689.4986564299428</v>
      </c>
      <c r="N15" s="29">
        <v>8.8244707658711903</v>
      </c>
      <c r="O15" s="29">
        <v>0</v>
      </c>
      <c r="P15" s="29">
        <v>86.187332053742693</v>
      </c>
      <c r="Q15" s="27">
        <f t="shared" si="3"/>
        <v>70</v>
      </c>
      <c r="R15" s="27">
        <f t="shared" si="4"/>
        <v>630</v>
      </c>
      <c r="S15" s="27">
        <f t="shared" si="5"/>
        <v>775.68598848368549</v>
      </c>
    </row>
    <row r="16" spans="1:19" ht="16">
      <c r="A16" s="10">
        <v>12</v>
      </c>
      <c r="B16" s="5">
        <v>3460</v>
      </c>
      <c r="C16" s="6">
        <v>2.1440000000000001</v>
      </c>
      <c r="D16" s="11">
        <v>110</v>
      </c>
      <c r="E16" s="20">
        <v>2.2989999999999999</v>
      </c>
      <c r="F16" s="5">
        <v>4000</v>
      </c>
      <c r="G16" s="8">
        <v>2.3449999999999998</v>
      </c>
      <c r="H16" s="5">
        <v>4080</v>
      </c>
      <c r="I16" s="24">
        <f t="shared" si="0"/>
        <v>80</v>
      </c>
      <c r="J16" s="27">
        <f t="shared" si="6"/>
        <v>90</v>
      </c>
      <c r="K16" s="27">
        <f t="shared" si="1"/>
        <v>540</v>
      </c>
      <c r="L16" s="28">
        <f t="shared" si="2"/>
        <v>15.61</v>
      </c>
      <c r="M16" s="29">
        <v>663.01719038816952</v>
      </c>
      <c r="N16" s="29">
        <v>8.1308358133707994</v>
      </c>
      <c r="O16" s="29">
        <v>0</v>
      </c>
      <c r="P16" s="29">
        <v>98.224768946397262</v>
      </c>
      <c r="Q16" s="27">
        <f t="shared" si="3"/>
        <v>80</v>
      </c>
      <c r="R16" s="27">
        <f t="shared" si="4"/>
        <v>620</v>
      </c>
      <c r="S16" s="27">
        <f t="shared" si="5"/>
        <v>761.24195933456679</v>
      </c>
    </row>
    <row r="17" spans="1:19" ht="16">
      <c r="A17" s="10">
        <v>13</v>
      </c>
      <c r="B17" s="5">
        <v>3550</v>
      </c>
      <c r="C17" s="6">
        <v>2.198</v>
      </c>
      <c r="D17" s="11">
        <v>90</v>
      </c>
      <c r="E17" s="20">
        <v>2.347</v>
      </c>
      <c r="F17" s="5">
        <v>4090</v>
      </c>
      <c r="G17" s="8">
        <v>2.399</v>
      </c>
      <c r="H17" s="5">
        <v>4180</v>
      </c>
      <c r="I17" s="24">
        <f t="shared" si="0"/>
        <v>90</v>
      </c>
      <c r="J17" s="27">
        <f t="shared" si="6"/>
        <v>90</v>
      </c>
      <c r="K17" s="27">
        <f t="shared" si="1"/>
        <v>540</v>
      </c>
      <c r="L17" s="28">
        <f t="shared" si="2"/>
        <v>15.21</v>
      </c>
      <c r="M17" s="29">
        <v>670.50367346938663</v>
      </c>
      <c r="N17" s="29">
        <v>7.7150202003527584</v>
      </c>
      <c r="O17" s="29">
        <v>0</v>
      </c>
      <c r="P17" s="29">
        <v>111.90122448979696</v>
      </c>
      <c r="Q17" s="27">
        <f t="shared" si="3"/>
        <v>90</v>
      </c>
      <c r="R17" s="27">
        <f t="shared" si="4"/>
        <v>630</v>
      </c>
      <c r="S17" s="27">
        <f t="shared" si="5"/>
        <v>782.40489795918359</v>
      </c>
    </row>
    <row r="18" spans="1:19" ht="16">
      <c r="A18" s="10">
        <v>14</v>
      </c>
      <c r="B18" s="5">
        <v>3730</v>
      </c>
      <c r="C18" s="6">
        <v>2.3110000000000004</v>
      </c>
      <c r="D18" s="11">
        <v>180</v>
      </c>
      <c r="E18" s="20">
        <v>2.4030000000000005</v>
      </c>
      <c r="F18" s="5">
        <v>4180</v>
      </c>
      <c r="G18" s="8">
        <v>2.4600000000000004</v>
      </c>
      <c r="H18" s="5">
        <v>4280</v>
      </c>
      <c r="I18" s="24">
        <f t="shared" si="0"/>
        <v>100</v>
      </c>
      <c r="J18" s="27">
        <f t="shared" si="6"/>
        <v>90</v>
      </c>
      <c r="K18" s="27">
        <f t="shared" si="1"/>
        <v>450</v>
      </c>
      <c r="L18" s="28">
        <f t="shared" si="2"/>
        <v>12.06</v>
      </c>
      <c r="M18" s="29">
        <v>566.69889135254994</v>
      </c>
      <c r="N18" s="29">
        <v>5.8159914419082197</v>
      </c>
      <c r="O18" s="29">
        <v>0</v>
      </c>
      <c r="P18" s="29">
        <v>126.12860310421286</v>
      </c>
      <c r="Q18" s="27">
        <f t="shared" si="3"/>
        <v>100</v>
      </c>
      <c r="R18" s="27">
        <f t="shared" si="4"/>
        <v>550</v>
      </c>
      <c r="S18" s="27">
        <f t="shared" si="5"/>
        <v>692.82749445676279</v>
      </c>
    </row>
    <row r="19" spans="1:19" ht="16">
      <c r="A19" s="10">
        <v>15</v>
      </c>
      <c r="B19" s="5">
        <v>4050</v>
      </c>
      <c r="C19" s="6">
        <v>2.5089999999999999</v>
      </c>
      <c r="D19" s="11">
        <v>320</v>
      </c>
      <c r="E19" s="20">
        <v>2.5089999999999999</v>
      </c>
      <c r="F19" s="5">
        <v>4370</v>
      </c>
      <c r="G19" s="8">
        <v>2.6189999999999998</v>
      </c>
      <c r="H19" s="5">
        <v>4560</v>
      </c>
      <c r="I19" s="24">
        <f t="shared" si="0"/>
        <v>190</v>
      </c>
      <c r="J19" s="27">
        <f t="shared" si="6"/>
        <v>190</v>
      </c>
      <c r="K19" s="27">
        <f t="shared" si="1"/>
        <v>320</v>
      </c>
      <c r="L19" s="28">
        <f t="shared" si="2"/>
        <v>7.9</v>
      </c>
      <c r="M19" s="29">
        <v>411.02133995037229</v>
      </c>
      <c r="N19" s="29">
        <v>3.7506770354993044</v>
      </c>
      <c r="O19" s="29">
        <v>0</v>
      </c>
      <c r="P19" s="29">
        <v>244.04392059553322</v>
      </c>
      <c r="Q19" s="27">
        <f t="shared" si="3"/>
        <v>190</v>
      </c>
      <c r="R19" s="27">
        <f t="shared" si="4"/>
        <v>510</v>
      </c>
      <c r="S19" s="27">
        <f t="shared" si="5"/>
        <v>655.06526054590552</v>
      </c>
    </row>
    <row r="20" spans="1:19" ht="16">
      <c r="A20" s="10">
        <v>16</v>
      </c>
      <c r="B20" s="5">
        <v>4540</v>
      </c>
      <c r="C20" s="6">
        <v>2.8109999999999999</v>
      </c>
      <c r="D20" s="11">
        <v>490</v>
      </c>
      <c r="E20" s="20">
        <v>2.8109999999999999</v>
      </c>
      <c r="F20" s="5">
        <v>4890</v>
      </c>
      <c r="G20" s="8">
        <v>2.931</v>
      </c>
      <c r="H20" s="5">
        <v>5100</v>
      </c>
      <c r="I20" s="24">
        <f t="shared" si="0"/>
        <v>210</v>
      </c>
      <c r="J20" s="27">
        <f t="shared" si="6"/>
        <v>520</v>
      </c>
      <c r="K20" s="27">
        <f t="shared" si="1"/>
        <v>350</v>
      </c>
      <c r="L20" s="28">
        <f t="shared" si="2"/>
        <v>7.71</v>
      </c>
      <c r="M20" s="29">
        <v>450.09027777777777</v>
      </c>
      <c r="N20" s="29">
        <v>3.7564252125200182</v>
      </c>
      <c r="O20" s="29">
        <v>0</v>
      </c>
      <c r="P20" s="29">
        <v>270.05416666666673</v>
      </c>
      <c r="Q20" s="27">
        <f t="shared" si="3"/>
        <v>210</v>
      </c>
      <c r="R20" s="27">
        <f t="shared" si="4"/>
        <v>560</v>
      </c>
      <c r="S20" s="27">
        <f t="shared" si="5"/>
        <v>720.1444444444445</v>
      </c>
    </row>
    <row r="21" spans="1:19" ht="16">
      <c r="A21" s="10">
        <v>17</v>
      </c>
      <c r="B21" s="5">
        <v>5150</v>
      </c>
      <c r="C21" s="6">
        <v>3.1919999999999997</v>
      </c>
      <c r="D21" s="11">
        <v>610</v>
      </c>
      <c r="E21" s="20">
        <v>3.1919999999999997</v>
      </c>
      <c r="F21" s="5">
        <v>5560</v>
      </c>
      <c r="G21" s="8">
        <v>3.3019999999999996</v>
      </c>
      <c r="H21" s="5">
        <v>5750</v>
      </c>
      <c r="I21" s="24">
        <f t="shared" si="0"/>
        <v>190</v>
      </c>
      <c r="J21" s="27">
        <f t="shared" si="6"/>
        <v>670</v>
      </c>
      <c r="K21" s="27">
        <f t="shared" si="1"/>
        <v>410</v>
      </c>
      <c r="L21" s="28">
        <f t="shared" si="2"/>
        <v>7.96</v>
      </c>
      <c r="M21" s="29">
        <v>532.55675675675661</v>
      </c>
      <c r="N21" s="29">
        <v>3.9085978500787726</v>
      </c>
      <c r="O21" s="29">
        <v>0</v>
      </c>
      <c r="P21" s="29">
        <v>246.79459459459474</v>
      </c>
      <c r="Q21" s="27">
        <f t="shared" si="3"/>
        <v>190</v>
      </c>
      <c r="R21" s="27">
        <f t="shared" si="4"/>
        <v>600</v>
      </c>
      <c r="S21" s="27">
        <f t="shared" si="5"/>
        <v>779.35135135135135</v>
      </c>
    </row>
    <row r="22" spans="1:19" ht="16">
      <c r="A22" s="10">
        <v>18</v>
      </c>
      <c r="B22" s="5">
        <v>5790</v>
      </c>
      <c r="C22" s="6">
        <v>3.5869999999999997</v>
      </c>
      <c r="D22" s="11">
        <v>640</v>
      </c>
      <c r="E22" s="20">
        <v>3.5869999999999997</v>
      </c>
      <c r="F22" s="5">
        <v>6240</v>
      </c>
      <c r="G22" s="8">
        <v>3.6869999999999998</v>
      </c>
      <c r="H22" s="5">
        <v>6420</v>
      </c>
      <c r="I22" s="24">
        <f t="shared" si="0"/>
        <v>180</v>
      </c>
      <c r="J22" s="27">
        <f t="shared" si="6"/>
        <v>680</v>
      </c>
      <c r="K22" s="27">
        <f t="shared" si="1"/>
        <v>450</v>
      </c>
      <c r="L22" s="28">
        <f t="shared" si="2"/>
        <v>7.77</v>
      </c>
      <c r="M22" s="29">
        <v>585</v>
      </c>
      <c r="N22" s="29">
        <v>3.6659742662982873</v>
      </c>
      <c r="O22" s="29">
        <v>0</v>
      </c>
      <c r="P22" s="29">
        <v>234</v>
      </c>
      <c r="Q22" s="27">
        <f t="shared" si="3"/>
        <v>180</v>
      </c>
      <c r="R22" s="27">
        <f t="shared" si="4"/>
        <v>630</v>
      </c>
      <c r="S22" s="27">
        <f t="shared" si="5"/>
        <v>819</v>
      </c>
    </row>
    <row r="23" spans="1:19" ht="16">
      <c r="A23" s="12">
        <v>19</v>
      </c>
      <c r="B23" s="5">
        <v>7910</v>
      </c>
      <c r="C23" s="13">
        <v>4.8969999999999994</v>
      </c>
      <c r="D23" s="14">
        <v>2120</v>
      </c>
      <c r="E23" s="21">
        <v>4.8969999999999994</v>
      </c>
      <c r="F23" s="5">
        <v>8520</v>
      </c>
      <c r="G23" s="8">
        <v>4.996999999999999</v>
      </c>
      <c r="H23" s="5">
        <v>8700</v>
      </c>
      <c r="I23" s="24">
        <f t="shared" si="0"/>
        <v>180</v>
      </c>
      <c r="J23" s="27">
        <f t="shared" si="6"/>
        <v>2280</v>
      </c>
      <c r="K23" s="27">
        <f>F23-B23</f>
        <v>610</v>
      </c>
      <c r="L23" s="28">
        <f t="shared" si="2"/>
        <v>7.71</v>
      </c>
      <c r="M23" s="29">
        <v>791.47499999999991</v>
      </c>
      <c r="N23" s="29">
        <v>4.0215744084631027</v>
      </c>
      <c r="O23" s="29">
        <v>0</v>
      </c>
      <c r="P23" s="29">
        <v>233.55000000000018</v>
      </c>
      <c r="Q23" s="27">
        <f t="shared" si="3"/>
        <v>180</v>
      </c>
      <c r="R23" s="27">
        <f t="shared" si="4"/>
        <v>790</v>
      </c>
      <c r="S23" s="27">
        <f t="shared" si="5"/>
        <v>1025.0250000000001</v>
      </c>
    </row>
    <row r="24" spans="1:19" ht="17" thickBot="1">
      <c r="A24" s="15">
        <v>20</v>
      </c>
      <c r="B24" s="5">
        <v>9020</v>
      </c>
      <c r="C24" s="13">
        <v>5.5880000000000001</v>
      </c>
      <c r="D24" s="14">
        <v>1110</v>
      </c>
      <c r="E24" s="21">
        <v>5.5880000000000001</v>
      </c>
      <c r="F24" s="5">
        <v>9730</v>
      </c>
      <c r="G24" s="8">
        <v>5.6879999999999997</v>
      </c>
      <c r="H24" s="5">
        <v>9900</v>
      </c>
      <c r="I24" s="24">
        <f t="shared" si="0"/>
        <v>170</v>
      </c>
      <c r="J24" s="27">
        <f t="shared" si="6"/>
        <v>1210</v>
      </c>
      <c r="K24" s="27">
        <f t="shared" si="1"/>
        <v>710</v>
      </c>
      <c r="L24" s="28">
        <f>ROUND(F24/B24%-100,2)</f>
        <v>7.87</v>
      </c>
      <c r="M24" s="29">
        <v>958.5</v>
      </c>
      <c r="N24" s="29">
        <v>4.238131242787218</v>
      </c>
      <c r="O24" s="29">
        <v>0</v>
      </c>
      <c r="P24" s="29">
        <v>229.5</v>
      </c>
      <c r="Q24" s="27">
        <f t="shared" si="3"/>
        <v>170</v>
      </c>
      <c r="R24" s="27">
        <f t="shared" si="4"/>
        <v>880</v>
      </c>
      <c r="S24" s="27">
        <f t="shared" si="5"/>
        <v>1188</v>
      </c>
    </row>
    <row r="25" spans="1:19" ht="16">
      <c r="A25" t="s">
        <v>76</v>
      </c>
      <c r="J25" s="30"/>
      <c r="K25" s="30"/>
      <c r="L25" s="28">
        <v>12.96</v>
      </c>
      <c r="M25" s="11">
        <v>484.23</v>
      </c>
      <c r="N25" s="11">
        <v>7.61</v>
      </c>
      <c r="O25" s="11">
        <v>55.2</v>
      </c>
      <c r="P25" s="11">
        <v>41.13</v>
      </c>
      <c r="Q25" s="30"/>
      <c r="R25" s="30"/>
      <c r="S25" s="27">
        <f t="shared" si="5"/>
        <v>580.56000000000006</v>
      </c>
    </row>
    <row r="27" spans="1:19">
      <c r="A27" t="s">
        <v>67</v>
      </c>
      <c r="D27" s="16">
        <v>1614.69</v>
      </c>
      <c r="E27" s="23">
        <f>D28/D27%</f>
        <v>107.80025887322024</v>
      </c>
      <c r="H27" s="16"/>
    </row>
    <row r="28" spans="1:19">
      <c r="A28" t="s">
        <v>61</v>
      </c>
      <c r="D28" s="16">
        <v>1740.64</v>
      </c>
    </row>
    <row r="29" spans="1:19">
      <c r="A29" t="s">
        <v>62</v>
      </c>
      <c r="C29" s="22">
        <v>0.315</v>
      </c>
      <c r="D29" s="16">
        <f>ROUND(D28*C29,2)</f>
        <v>548.29999999999995</v>
      </c>
      <c r="F29" s="23"/>
    </row>
    <row r="30" spans="1:19">
      <c r="F30" s="23"/>
    </row>
    <row r="33" spans="1:2">
      <c r="A33" t="s">
        <v>81</v>
      </c>
      <c r="B33" t="s">
        <v>54</v>
      </c>
    </row>
    <row r="34" spans="1:2">
      <c r="A34">
        <v>2006</v>
      </c>
      <c r="B34" s="31">
        <v>2715</v>
      </c>
    </row>
    <row r="35" spans="1:2">
      <c r="A35">
        <v>2007</v>
      </c>
      <c r="B35" s="31">
        <v>2949</v>
      </c>
    </row>
    <row r="36" spans="1:2">
      <c r="A36">
        <v>2008</v>
      </c>
      <c r="B36" s="31">
        <v>3539</v>
      </c>
    </row>
    <row r="37" spans="1:2">
      <c r="A37">
        <v>2009</v>
      </c>
      <c r="B37" s="31">
        <v>3945</v>
      </c>
    </row>
    <row r="38" spans="1:2">
      <c r="A38">
        <v>2010</v>
      </c>
      <c r="B38" s="31">
        <v>3945</v>
      </c>
    </row>
    <row r="39" spans="1:2">
      <c r="A39">
        <v>2011</v>
      </c>
      <c r="B39" s="31">
        <v>3945</v>
      </c>
    </row>
    <row r="40" spans="1:2">
      <c r="A40" s="17" t="s">
        <v>77</v>
      </c>
      <c r="B40" s="31">
        <v>3945</v>
      </c>
    </row>
    <row r="41" spans="1:2">
      <c r="A41" s="17" t="s">
        <v>78</v>
      </c>
      <c r="B41" s="31">
        <v>4280</v>
      </c>
    </row>
    <row r="42" spans="1:2">
      <c r="A42">
        <v>2013</v>
      </c>
      <c r="B42" s="31">
        <v>4280</v>
      </c>
    </row>
    <row r="43" spans="1:2">
      <c r="A43">
        <v>2014</v>
      </c>
      <c r="B43" s="31">
        <v>4280</v>
      </c>
    </row>
    <row r="44" spans="1:2">
      <c r="A44">
        <v>2015</v>
      </c>
      <c r="B44" s="31">
        <v>4280</v>
      </c>
    </row>
    <row r="45" spans="1:2">
      <c r="A45">
        <v>2016</v>
      </c>
      <c r="B45" s="31">
        <v>4494</v>
      </c>
    </row>
    <row r="46" spans="1:2">
      <c r="A46">
        <v>2017</v>
      </c>
      <c r="B46" s="31">
        <v>4768</v>
      </c>
    </row>
    <row r="47" spans="1:2">
      <c r="A47" s="17" t="s">
        <v>79</v>
      </c>
      <c r="B47" s="31">
        <v>4768</v>
      </c>
    </row>
    <row r="48" spans="1:2">
      <c r="A48" s="17" t="s">
        <v>80</v>
      </c>
      <c r="B48" s="31">
        <v>4905</v>
      </c>
    </row>
    <row r="49" spans="1:2">
      <c r="A49">
        <v>2019</v>
      </c>
      <c r="B49" s="31">
        <v>5560</v>
      </c>
    </row>
    <row r="50" spans="1:2">
      <c r="A50">
        <v>2020</v>
      </c>
      <c r="B50" s="31">
        <v>6062</v>
      </c>
    </row>
    <row r="51" spans="1:2">
      <c r="A51">
        <v>2021</v>
      </c>
      <c r="B51" s="31">
        <v>6062</v>
      </c>
    </row>
    <row r="52" spans="1:2">
      <c r="A52">
        <v>2022</v>
      </c>
      <c r="B52" s="31">
        <v>6738.1</v>
      </c>
    </row>
    <row r="53" spans="1:2">
      <c r="A53">
        <v>2023</v>
      </c>
      <c r="B53" s="31">
        <v>7263.69</v>
      </c>
    </row>
  </sheetData>
  <sheetProtection algorithmName="SHA-512" hashValue="G1k34LPiIfoQn+2olusMCsMbNT1s90ZV0MYCfwhgKQN8sQ9XEfshqHWXBfTGmnqYPn8TZRL1PDPv5deJJnMCFA==" saltValue="mKsukvt9zR85+rvLmiXlxw==" spinCount="100000" sheet="1" objects="1" scenarios="1"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4584-E2C0-4C6D-A644-BF99DF91EFAA}">
  <dimension ref="A1:E19"/>
  <sheetViews>
    <sheetView workbookViewId="0">
      <selection activeCell="C39" sqref="C39"/>
    </sheetView>
  </sheetViews>
  <sheetFormatPr baseColWidth="10" defaultColWidth="8.83203125" defaultRowHeight="15"/>
  <cols>
    <col min="2" max="2" width="20.33203125" customWidth="1"/>
  </cols>
  <sheetData>
    <row r="1" spans="1:5">
      <c r="A1">
        <v>1</v>
      </c>
      <c r="B1" t="s">
        <v>10</v>
      </c>
      <c r="C1" t="s">
        <v>11</v>
      </c>
      <c r="D1">
        <v>2322</v>
      </c>
      <c r="E1">
        <v>2322</v>
      </c>
    </row>
    <row r="2" spans="1:5">
      <c r="A2">
        <v>2</v>
      </c>
      <c r="B2" t="s">
        <v>12</v>
      </c>
      <c r="C2" t="s">
        <v>13</v>
      </c>
      <c r="D2">
        <v>2172</v>
      </c>
      <c r="E2">
        <v>2172</v>
      </c>
    </row>
    <row r="3" spans="1:5">
      <c r="A3">
        <v>3</v>
      </c>
      <c r="B3" t="s">
        <v>14</v>
      </c>
      <c r="C3" t="s">
        <v>15</v>
      </c>
      <c r="D3">
        <v>2022</v>
      </c>
      <c r="E3">
        <v>2022</v>
      </c>
    </row>
    <row r="4" spans="1:5">
      <c r="A4">
        <v>4</v>
      </c>
      <c r="B4" t="s">
        <v>16</v>
      </c>
      <c r="C4" t="s">
        <v>17</v>
      </c>
      <c r="D4">
        <v>2002</v>
      </c>
      <c r="E4">
        <v>2002</v>
      </c>
    </row>
    <row r="5" spans="1:5">
      <c r="A5">
        <v>5</v>
      </c>
      <c r="B5" t="s">
        <v>18</v>
      </c>
      <c r="C5" t="s">
        <v>19</v>
      </c>
      <c r="D5">
        <v>1982</v>
      </c>
      <c r="E5">
        <v>1982</v>
      </c>
    </row>
    <row r="6" spans="1:5">
      <c r="A6">
        <v>6</v>
      </c>
      <c r="B6" t="s">
        <v>20</v>
      </c>
      <c r="C6" t="s">
        <v>21</v>
      </c>
      <c r="D6">
        <v>1962</v>
      </c>
      <c r="E6">
        <v>1962</v>
      </c>
    </row>
    <row r="7" spans="1:5">
      <c r="A7">
        <v>7</v>
      </c>
      <c r="B7" t="s">
        <v>22</v>
      </c>
      <c r="C7" t="s">
        <v>23</v>
      </c>
      <c r="D7">
        <v>1942</v>
      </c>
      <c r="E7">
        <v>1942</v>
      </c>
    </row>
    <row r="8" spans="1:5">
      <c r="A8">
        <v>8</v>
      </c>
      <c r="B8" t="s">
        <v>24</v>
      </c>
      <c r="C8" t="s">
        <v>25</v>
      </c>
      <c r="D8">
        <v>1922</v>
      </c>
      <c r="E8">
        <v>1922</v>
      </c>
    </row>
    <row r="9" spans="1:5">
      <c r="A9">
        <v>9</v>
      </c>
      <c r="B9" t="s">
        <v>26</v>
      </c>
      <c r="C9" t="s">
        <v>27</v>
      </c>
      <c r="D9">
        <v>1867</v>
      </c>
      <c r="E9">
        <v>1867</v>
      </c>
    </row>
    <row r="10" spans="1:5">
      <c r="A10">
        <v>10</v>
      </c>
      <c r="B10" t="s">
        <v>28</v>
      </c>
      <c r="C10" t="s">
        <v>29</v>
      </c>
      <c r="D10">
        <v>1847</v>
      </c>
      <c r="E10">
        <v>1847</v>
      </c>
    </row>
    <row r="11" spans="1:5">
      <c r="A11">
        <v>11</v>
      </c>
      <c r="B11" t="s">
        <v>30</v>
      </c>
      <c r="C11" t="s">
        <v>31</v>
      </c>
      <c r="D11">
        <v>1827</v>
      </c>
      <c r="E11">
        <v>1827</v>
      </c>
    </row>
    <row r="12" spans="1:5">
      <c r="A12">
        <v>12</v>
      </c>
      <c r="B12" t="s">
        <v>32</v>
      </c>
      <c r="C12" t="s">
        <v>33</v>
      </c>
      <c r="D12">
        <v>1807</v>
      </c>
      <c r="E12">
        <v>1807</v>
      </c>
    </row>
    <row r="13" spans="1:5">
      <c r="A13">
        <v>13</v>
      </c>
      <c r="B13" t="s">
        <v>34</v>
      </c>
      <c r="C13" t="s">
        <v>35</v>
      </c>
      <c r="D13">
        <v>1752</v>
      </c>
      <c r="E13">
        <v>1752</v>
      </c>
    </row>
    <row r="14" spans="1:5">
      <c r="A14">
        <v>14</v>
      </c>
      <c r="B14" t="s">
        <v>36</v>
      </c>
      <c r="C14" t="s">
        <v>37</v>
      </c>
      <c r="D14">
        <v>1732</v>
      </c>
      <c r="E14">
        <v>1732</v>
      </c>
    </row>
    <row r="15" spans="1:5">
      <c r="A15">
        <v>15</v>
      </c>
      <c r="B15" t="s">
        <v>38</v>
      </c>
      <c r="C15" t="s">
        <v>39</v>
      </c>
      <c r="D15">
        <v>1712</v>
      </c>
      <c r="E15">
        <v>1712</v>
      </c>
    </row>
    <row r="16" spans="1:5">
      <c r="A16">
        <v>16</v>
      </c>
      <c r="B16" t="s">
        <v>40</v>
      </c>
      <c r="C16" t="s">
        <v>41</v>
      </c>
      <c r="D16">
        <v>1692</v>
      </c>
      <c r="E16">
        <v>1692</v>
      </c>
    </row>
    <row r="17" spans="1:5">
      <c r="A17">
        <v>17</v>
      </c>
      <c r="B17" t="s">
        <v>42</v>
      </c>
      <c r="C17" t="s">
        <v>43</v>
      </c>
      <c r="D17">
        <v>1672</v>
      </c>
      <c r="E17">
        <v>1672</v>
      </c>
    </row>
    <row r="18" spans="1:5">
      <c r="A18">
        <v>18</v>
      </c>
      <c r="B18" t="s">
        <v>44</v>
      </c>
      <c r="C18" t="s">
        <v>45</v>
      </c>
      <c r="D18">
        <v>1632</v>
      </c>
      <c r="E18">
        <v>1632</v>
      </c>
    </row>
    <row r="19" spans="1:5">
      <c r="A19">
        <v>19</v>
      </c>
      <c r="B19" t="s">
        <v>46</v>
      </c>
      <c r="C19" t="s">
        <v>47</v>
      </c>
      <c r="D19">
        <v>1622</v>
      </c>
      <c r="E19">
        <v>1622</v>
      </c>
    </row>
  </sheetData>
  <sheetProtection algorithmName="SHA-512" hashValue="aRMdlGimZRtYYxUpbRiTEF1TyZxfv442Jw9iHnvxEsSGVoJJxqEKapBfzXaxf/+HMJEt+MrM+YGrWmbrD15/Qg==" saltValue="1ahWjK/OlrHXqQtVuGCmKw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84C2-20DD-4598-BAE0-EE903FEB6517}">
  <dimension ref="A2:E37"/>
  <sheetViews>
    <sheetView workbookViewId="0">
      <selection activeCell="B23" sqref="B23"/>
    </sheetView>
  </sheetViews>
  <sheetFormatPr baseColWidth="10" defaultColWidth="8.83203125" defaultRowHeight="15"/>
  <sheetData>
    <row r="2" spans="1:5">
      <c r="A2">
        <v>0</v>
      </c>
      <c r="B2">
        <v>0</v>
      </c>
      <c r="D2">
        <v>0</v>
      </c>
      <c r="E2">
        <v>0</v>
      </c>
    </row>
    <row r="3" spans="1:5">
      <c r="A3">
        <v>1</v>
      </c>
      <c r="B3">
        <v>0</v>
      </c>
      <c r="D3">
        <v>1</v>
      </c>
      <c r="E3">
        <v>0</v>
      </c>
    </row>
    <row r="4" spans="1:5">
      <c r="A4">
        <v>2</v>
      </c>
      <c r="B4">
        <v>2</v>
      </c>
      <c r="D4">
        <v>2</v>
      </c>
      <c r="E4">
        <v>0</v>
      </c>
    </row>
    <row r="5" spans="1:5">
      <c r="A5">
        <v>3</v>
      </c>
      <c r="B5">
        <v>3</v>
      </c>
      <c r="D5">
        <v>3</v>
      </c>
      <c r="E5">
        <v>0</v>
      </c>
    </row>
    <row r="6" spans="1:5">
      <c r="A6">
        <v>4</v>
      </c>
      <c r="B6">
        <v>4</v>
      </c>
      <c r="D6">
        <v>4</v>
      </c>
      <c r="E6">
        <v>0</v>
      </c>
    </row>
    <row r="7" spans="1:5">
      <c r="A7">
        <v>5</v>
      </c>
      <c r="B7">
        <v>5</v>
      </c>
      <c r="D7">
        <v>5</v>
      </c>
      <c r="E7">
        <v>0</v>
      </c>
    </row>
    <row r="8" spans="1:5">
      <c r="A8">
        <v>6</v>
      </c>
      <c r="B8">
        <v>6</v>
      </c>
      <c r="D8">
        <v>6</v>
      </c>
      <c r="E8">
        <v>0</v>
      </c>
    </row>
    <row r="9" spans="1:5">
      <c r="A9">
        <v>7</v>
      </c>
      <c r="B9">
        <v>7</v>
      </c>
      <c r="D9">
        <v>7</v>
      </c>
      <c r="E9">
        <v>0</v>
      </c>
    </row>
    <row r="10" spans="1:5">
      <c r="A10">
        <v>8</v>
      </c>
      <c r="B10">
        <v>8</v>
      </c>
      <c r="D10">
        <v>8</v>
      </c>
      <c r="E10">
        <v>0</v>
      </c>
    </row>
    <row r="11" spans="1:5">
      <c r="A11">
        <v>9</v>
      </c>
      <c r="B11">
        <v>9</v>
      </c>
      <c r="D11">
        <v>9</v>
      </c>
      <c r="E11">
        <v>0</v>
      </c>
    </row>
    <row r="12" spans="1:5">
      <c r="A12">
        <v>10</v>
      </c>
      <c r="B12">
        <v>10</v>
      </c>
      <c r="D12">
        <v>10</v>
      </c>
      <c r="E12">
        <v>0</v>
      </c>
    </row>
    <row r="13" spans="1:5">
      <c r="A13">
        <v>11</v>
      </c>
      <c r="B13">
        <v>11</v>
      </c>
      <c r="D13">
        <v>11</v>
      </c>
      <c r="E13">
        <v>0</v>
      </c>
    </row>
    <row r="14" spans="1:5">
      <c r="A14">
        <v>12</v>
      </c>
      <c r="B14">
        <v>12</v>
      </c>
      <c r="D14">
        <v>12</v>
      </c>
      <c r="E14">
        <v>0</v>
      </c>
    </row>
    <row r="15" spans="1:5">
      <c r="A15">
        <v>13</v>
      </c>
      <c r="B15">
        <v>13</v>
      </c>
      <c r="D15">
        <v>13</v>
      </c>
      <c r="E15">
        <v>0</v>
      </c>
    </row>
    <row r="16" spans="1:5">
      <c r="A16">
        <v>14</v>
      </c>
      <c r="B16">
        <v>14</v>
      </c>
      <c r="D16">
        <v>14</v>
      </c>
      <c r="E16">
        <v>0</v>
      </c>
    </row>
    <row r="17" spans="1:5">
      <c r="A17">
        <v>15</v>
      </c>
      <c r="B17">
        <v>15</v>
      </c>
      <c r="D17">
        <v>15</v>
      </c>
      <c r="E17">
        <v>5</v>
      </c>
    </row>
    <row r="18" spans="1:5">
      <c r="A18">
        <v>16</v>
      </c>
      <c r="B18">
        <v>16</v>
      </c>
      <c r="D18">
        <v>16</v>
      </c>
      <c r="E18">
        <v>6</v>
      </c>
    </row>
    <row r="19" spans="1:5">
      <c r="A19">
        <v>17</v>
      </c>
      <c r="B19">
        <v>17</v>
      </c>
      <c r="D19">
        <v>17</v>
      </c>
      <c r="E19">
        <v>7</v>
      </c>
    </row>
    <row r="20" spans="1:5">
      <c r="A20">
        <v>18</v>
      </c>
      <c r="B20">
        <v>18</v>
      </c>
      <c r="D20">
        <v>18</v>
      </c>
      <c r="E20">
        <v>8</v>
      </c>
    </row>
    <row r="21" spans="1:5">
      <c r="A21">
        <v>19</v>
      </c>
      <c r="B21">
        <v>19</v>
      </c>
      <c r="D21">
        <v>19</v>
      </c>
      <c r="E21">
        <v>9</v>
      </c>
    </row>
    <row r="22" spans="1:5">
      <c r="A22">
        <v>20</v>
      </c>
      <c r="B22">
        <v>20</v>
      </c>
      <c r="D22">
        <v>20</v>
      </c>
      <c r="E22">
        <v>10</v>
      </c>
    </row>
    <row r="23" spans="1:5">
      <c r="A23">
        <v>21</v>
      </c>
      <c r="B23">
        <v>20</v>
      </c>
      <c r="D23">
        <v>21</v>
      </c>
      <c r="E23">
        <v>11</v>
      </c>
    </row>
    <row r="24" spans="1:5">
      <c r="A24">
        <v>22</v>
      </c>
      <c r="B24">
        <v>22</v>
      </c>
      <c r="D24">
        <v>22</v>
      </c>
      <c r="E24">
        <v>12</v>
      </c>
    </row>
    <row r="25" spans="1:5">
      <c r="A25">
        <v>23</v>
      </c>
      <c r="B25">
        <v>22</v>
      </c>
      <c r="D25">
        <v>23</v>
      </c>
      <c r="E25">
        <v>13</v>
      </c>
    </row>
    <row r="26" spans="1:5">
      <c r="A26">
        <v>24</v>
      </c>
      <c r="B26">
        <v>24</v>
      </c>
      <c r="D26">
        <v>24</v>
      </c>
      <c r="E26">
        <v>14</v>
      </c>
    </row>
    <row r="27" spans="1:5">
      <c r="A27">
        <v>25</v>
      </c>
      <c r="B27">
        <v>24</v>
      </c>
      <c r="D27">
        <v>25</v>
      </c>
      <c r="E27">
        <v>15</v>
      </c>
    </row>
    <row r="28" spans="1:5">
      <c r="A28">
        <v>26</v>
      </c>
      <c r="B28">
        <v>26</v>
      </c>
    </row>
    <row r="29" spans="1:5">
      <c r="A29">
        <v>27</v>
      </c>
      <c r="B29">
        <v>26</v>
      </c>
    </row>
    <row r="30" spans="1:5">
      <c r="A30">
        <v>28</v>
      </c>
      <c r="B30">
        <v>28</v>
      </c>
    </row>
    <row r="31" spans="1:5">
      <c r="A31">
        <v>29</v>
      </c>
      <c r="B31">
        <v>28</v>
      </c>
    </row>
    <row r="32" spans="1:5">
      <c r="A32">
        <v>30</v>
      </c>
      <c r="B32">
        <v>30</v>
      </c>
    </row>
    <row r="33" spans="1:2">
      <c r="A33">
        <v>31</v>
      </c>
      <c r="B33">
        <v>30</v>
      </c>
    </row>
    <row r="34" spans="1:2">
      <c r="A34">
        <v>32</v>
      </c>
      <c r="B34">
        <v>32</v>
      </c>
    </row>
    <row r="35" spans="1:2">
      <c r="A35">
        <v>33</v>
      </c>
      <c r="B35">
        <v>32</v>
      </c>
    </row>
    <row r="36" spans="1:2">
      <c r="A36">
        <v>34</v>
      </c>
      <c r="B36">
        <v>32</v>
      </c>
    </row>
    <row r="37" spans="1:2">
      <c r="A37">
        <v>35</v>
      </c>
      <c r="B37">
        <v>35</v>
      </c>
    </row>
  </sheetData>
  <sheetProtection algorithmName="SHA-512" hashValue="xszLD4DrUndOabhmLej+SzfpSEf/XRWdtnnRvKKlYvngx3GQLp+pIIsgbkHy1TfiXT8Inq+wxNRNjQTfCoDk2Q==" saltValue="cFj2ggmP3+E0lscxufJrKg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Kalkulator</vt:lpstr>
      <vt:lpstr>Grupa</vt:lpstr>
      <vt:lpstr>Stopień</vt:lpstr>
      <vt:lpstr>Wysługa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S.Rybicki (KG PSP)</dc:creator>
  <cp:lastModifiedBy>K.Hejduk (KG PSP)</cp:lastModifiedBy>
  <cp:lastPrinted>2023-02-14T14:43:48Z</cp:lastPrinted>
  <dcterms:created xsi:type="dcterms:W3CDTF">2023-02-09T13:36:20Z</dcterms:created>
  <dcterms:modified xsi:type="dcterms:W3CDTF">2023-02-14T14:51:00Z</dcterms:modified>
</cp:coreProperties>
</file>