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```ST7\Besti@\2023\II kwartał\Dane ostateczne 2023.08.14\Zbiorówki_2023_k2_20230814\"/>
    </mc:Choice>
  </mc:AlternateContent>
  <bookViews>
    <workbookView xWindow="240" yWindow="120" windowWidth="14220" windowHeight="8835"/>
  </bookViews>
  <sheets>
    <sheet name="doch_wyd" sheetId="4" r:id="rId1"/>
    <sheet name="definicja" sheetId="5" r:id="rId2"/>
  </sheets>
  <definedNames>
    <definedName name="_xlnm.Print_Area" localSheetId="0">doch_wyd!$A$1:$M$119</definedName>
  </definedNames>
  <calcPr calcId="152511"/>
</workbook>
</file>

<file path=xl/calcChain.xml><?xml version="1.0" encoding="utf-8"?>
<calcChain xmlns="http://schemas.openxmlformats.org/spreadsheetml/2006/main">
  <c r="C122" i="5" l="1"/>
  <c r="C121" i="5"/>
  <c r="C120" i="5"/>
  <c r="C119" i="5"/>
  <c r="D119" i="5" s="1"/>
  <c r="C120" i="4"/>
  <c r="C119" i="4"/>
  <c r="C118" i="4"/>
  <c r="C117" i="4"/>
  <c r="D115" i="4"/>
  <c r="C115" i="4"/>
  <c r="D114" i="4"/>
  <c r="C114" i="4"/>
  <c r="D113" i="4"/>
  <c r="C113" i="4"/>
  <c r="D112" i="4"/>
  <c r="C112" i="4"/>
  <c r="D111" i="4"/>
  <c r="C111" i="4"/>
  <c r="D110" i="4"/>
  <c r="C110" i="4"/>
  <c r="D109" i="4"/>
  <c r="C109" i="4"/>
  <c r="D108" i="4"/>
  <c r="C108" i="4"/>
  <c r="D107" i="4"/>
  <c r="C107" i="4"/>
  <c r="D102" i="4"/>
  <c r="C102" i="4"/>
  <c r="D101" i="4"/>
  <c r="C101" i="4"/>
  <c r="D100" i="4"/>
  <c r="K100" i="4" s="1"/>
  <c r="C100" i="4"/>
  <c r="D99" i="4"/>
  <c r="C99" i="4"/>
  <c r="D98" i="4"/>
  <c r="C98" i="4"/>
  <c r="K98" i="4" s="1"/>
  <c r="D97" i="4"/>
  <c r="C97" i="4"/>
  <c r="D96" i="4"/>
  <c r="C96" i="4"/>
  <c r="D95" i="4"/>
  <c r="C95" i="4"/>
  <c r="D94" i="4"/>
  <c r="C94" i="4"/>
  <c r="D93" i="4"/>
  <c r="C93" i="4"/>
  <c r="D92" i="4"/>
  <c r="C92" i="4"/>
  <c r="D91" i="4"/>
  <c r="C91" i="4"/>
  <c r="D90" i="4"/>
  <c r="C90" i="4"/>
  <c r="D89" i="4"/>
  <c r="C89" i="4"/>
  <c r="D88" i="4"/>
  <c r="C88" i="4"/>
  <c r="D87" i="4"/>
  <c r="C87" i="4"/>
  <c r="D86" i="4"/>
  <c r="C86" i="4"/>
  <c r="I79" i="4"/>
  <c r="H79" i="4"/>
  <c r="G79" i="4"/>
  <c r="F79" i="4"/>
  <c r="E79" i="4"/>
  <c r="D79" i="4"/>
  <c r="C79" i="4"/>
  <c r="I78" i="4"/>
  <c r="H78" i="4"/>
  <c r="G78" i="4"/>
  <c r="F78" i="4"/>
  <c r="E78" i="4"/>
  <c r="D78" i="4"/>
  <c r="C78" i="4"/>
  <c r="K78" i="4" s="1"/>
  <c r="I72" i="4"/>
  <c r="H72" i="4"/>
  <c r="G72" i="4"/>
  <c r="F72" i="4"/>
  <c r="E72" i="4"/>
  <c r="D72" i="4"/>
  <c r="C72" i="4"/>
  <c r="I71" i="4"/>
  <c r="H71" i="4"/>
  <c r="G71" i="4"/>
  <c r="F71" i="4"/>
  <c r="E71" i="4"/>
  <c r="D71" i="4"/>
  <c r="C71" i="4"/>
  <c r="I70" i="4"/>
  <c r="H70" i="4"/>
  <c r="G70" i="4"/>
  <c r="F70" i="4"/>
  <c r="E70" i="4"/>
  <c r="D70" i="4"/>
  <c r="C70" i="4"/>
  <c r="I69" i="4"/>
  <c r="H69" i="4"/>
  <c r="G69" i="4"/>
  <c r="F69" i="4"/>
  <c r="E69" i="4"/>
  <c r="D69" i="4"/>
  <c r="C69" i="4"/>
  <c r="I68" i="4"/>
  <c r="H68" i="4"/>
  <c r="G68" i="4"/>
  <c r="F68" i="4"/>
  <c r="E68" i="4"/>
  <c r="D68" i="4"/>
  <c r="C68" i="4"/>
  <c r="I66" i="4"/>
  <c r="H66" i="4"/>
  <c r="G66" i="4"/>
  <c r="F66" i="4"/>
  <c r="E66" i="4"/>
  <c r="D66" i="4"/>
  <c r="C66" i="4"/>
  <c r="I65" i="4"/>
  <c r="H65" i="4"/>
  <c r="G65" i="4"/>
  <c r="F65" i="4"/>
  <c r="E65" i="4"/>
  <c r="D65" i="4"/>
  <c r="C65" i="4"/>
  <c r="I64" i="4"/>
  <c r="H64" i="4"/>
  <c r="G64" i="4"/>
  <c r="F64" i="4"/>
  <c r="E64" i="4"/>
  <c r="D64" i="4"/>
  <c r="J72" i="4" s="1"/>
  <c r="C64" i="4"/>
  <c r="I54" i="4"/>
  <c r="H54" i="4"/>
  <c r="G54" i="4"/>
  <c r="F54" i="4"/>
  <c r="E54" i="4"/>
  <c r="D54" i="4"/>
  <c r="C54" i="4"/>
  <c r="D51" i="4"/>
  <c r="C51" i="4"/>
  <c r="D50" i="4"/>
  <c r="C50" i="4"/>
  <c r="D49" i="4"/>
  <c r="C49" i="4"/>
  <c r="D48" i="4"/>
  <c r="C48" i="4"/>
  <c r="D47" i="4"/>
  <c r="C47" i="4"/>
  <c r="D45" i="4"/>
  <c r="C45" i="4"/>
  <c r="D44" i="4"/>
  <c r="C44" i="4"/>
  <c r="D43" i="4"/>
  <c r="C43" i="4"/>
  <c r="D42" i="4"/>
  <c r="C42" i="4"/>
  <c r="D41" i="4"/>
  <c r="C41" i="4"/>
  <c r="D40" i="4"/>
  <c r="C40" i="4"/>
  <c r="D39" i="4"/>
  <c r="C39" i="4"/>
  <c r="D38" i="4"/>
  <c r="C38" i="4"/>
  <c r="D37" i="4"/>
  <c r="C37" i="4"/>
  <c r="D36" i="4"/>
  <c r="C36" i="4"/>
  <c r="D35" i="4"/>
  <c r="J35" i="4" s="1"/>
  <c r="C35" i="4"/>
  <c r="D34" i="4"/>
  <c r="C34" i="4"/>
  <c r="D33" i="4"/>
  <c r="C33" i="4"/>
  <c r="D32" i="4"/>
  <c r="C32" i="4"/>
  <c r="D31" i="4"/>
  <c r="C31" i="4"/>
  <c r="D30" i="4"/>
  <c r="C30" i="4"/>
  <c r="D29" i="4"/>
  <c r="C29" i="4"/>
  <c r="D28" i="4"/>
  <c r="C28" i="4"/>
  <c r="D27" i="4"/>
  <c r="C27" i="4"/>
  <c r="D26" i="4"/>
  <c r="C26" i="4"/>
  <c r="D25" i="4"/>
  <c r="C25" i="4"/>
  <c r="D24" i="4"/>
  <c r="C24" i="4"/>
  <c r="I20" i="4"/>
  <c r="H20" i="4"/>
  <c r="G20" i="4"/>
  <c r="F20" i="4"/>
  <c r="E20" i="4"/>
  <c r="D20" i="4"/>
  <c r="C20" i="4"/>
  <c r="I19" i="4"/>
  <c r="H19" i="4"/>
  <c r="G19" i="4"/>
  <c r="F19" i="4"/>
  <c r="E19" i="4"/>
  <c r="D19" i="4"/>
  <c r="C19" i="4"/>
  <c r="I18" i="4"/>
  <c r="H18" i="4"/>
  <c r="G18" i="4"/>
  <c r="F18" i="4"/>
  <c r="E18" i="4"/>
  <c r="D18" i="4"/>
  <c r="C18" i="4"/>
  <c r="I17" i="4"/>
  <c r="H17" i="4"/>
  <c r="G17" i="4"/>
  <c r="F17" i="4"/>
  <c r="E17" i="4"/>
  <c r="D17" i="4"/>
  <c r="C17" i="4"/>
  <c r="I16" i="4"/>
  <c r="H16" i="4"/>
  <c r="G16" i="4"/>
  <c r="F16" i="4"/>
  <c r="E16" i="4"/>
  <c r="D16" i="4"/>
  <c r="C16" i="4"/>
  <c r="I15" i="4"/>
  <c r="H15" i="4"/>
  <c r="G15" i="4"/>
  <c r="F15" i="4"/>
  <c r="E15" i="4"/>
  <c r="D15" i="4"/>
  <c r="C15" i="4"/>
  <c r="I14" i="4"/>
  <c r="H14" i="4"/>
  <c r="G14" i="4"/>
  <c r="F14" i="4"/>
  <c r="E14" i="4"/>
  <c r="D14" i="4"/>
  <c r="C14" i="4"/>
  <c r="I13" i="4"/>
  <c r="H13" i="4"/>
  <c r="G13" i="4"/>
  <c r="F13" i="4"/>
  <c r="E13" i="4"/>
  <c r="D13" i="4"/>
  <c r="C13" i="4"/>
  <c r="I12" i="4"/>
  <c r="H12" i="4"/>
  <c r="G12" i="4"/>
  <c r="F12" i="4"/>
  <c r="E12" i="4"/>
  <c r="D12" i="4"/>
  <c r="C12" i="4"/>
  <c r="I11" i="4"/>
  <c r="H11" i="4"/>
  <c r="G11" i="4"/>
  <c r="F11" i="4"/>
  <c r="E11" i="4"/>
  <c r="D11" i="4"/>
  <c r="C11" i="4"/>
  <c r="I10" i="4"/>
  <c r="H10" i="4"/>
  <c r="G10" i="4"/>
  <c r="F10" i="4"/>
  <c r="E10" i="4"/>
  <c r="D10" i="4"/>
  <c r="C10" i="4"/>
  <c r="I9" i="4"/>
  <c r="H9" i="4"/>
  <c r="G9" i="4"/>
  <c r="F9" i="4"/>
  <c r="E9" i="4"/>
  <c r="D9" i="4"/>
  <c r="C9" i="4"/>
  <c r="I8" i="4"/>
  <c r="H8" i="4"/>
  <c r="G8" i="4"/>
  <c r="F8" i="4"/>
  <c r="E8" i="4"/>
  <c r="D8" i="4"/>
  <c r="C8" i="4"/>
  <c r="I6" i="4"/>
  <c r="H6" i="4"/>
  <c r="G6" i="4"/>
  <c r="F6" i="4"/>
  <c r="E6" i="4"/>
  <c r="D6" i="4"/>
  <c r="C6" i="4"/>
  <c r="H99" i="5"/>
  <c r="H88" i="5"/>
  <c r="J42" i="4"/>
  <c r="D74" i="4"/>
  <c r="J47" i="4"/>
  <c r="J8" i="4"/>
  <c r="J12" i="4"/>
  <c r="J31" i="4"/>
  <c r="J11" i="4"/>
  <c r="J19" i="4"/>
  <c r="J51" i="4"/>
  <c r="J48" i="4"/>
  <c r="J14" i="4"/>
  <c r="J43" i="4"/>
  <c r="J13" i="4"/>
  <c r="J40" i="4"/>
  <c r="J37" i="4"/>
  <c r="J9" i="4"/>
  <c r="J32" i="4"/>
  <c r="J10" i="4"/>
  <c r="J24" i="4"/>
  <c r="J20" i="4"/>
  <c r="J50" i="4"/>
  <c r="J16" i="4"/>
  <c r="J15" i="4"/>
  <c r="J17" i="4"/>
  <c r="J36" i="4"/>
  <c r="J38" i="4"/>
  <c r="J33" i="4"/>
  <c r="J44" i="4"/>
  <c r="J26" i="4"/>
  <c r="J54" i="4"/>
  <c r="J29" i="4"/>
  <c r="J41" i="4"/>
  <c r="J28" i="4"/>
  <c r="J25" i="4"/>
  <c r="J45" i="4"/>
  <c r="J27" i="4"/>
  <c r="J39" i="4"/>
  <c r="J34" i="4"/>
  <c r="D53" i="4"/>
  <c r="D55" i="4" s="1"/>
  <c r="J6" i="4"/>
  <c r="J30" i="4"/>
  <c r="J18" i="4"/>
  <c r="J49" i="4"/>
  <c r="H7" i="4"/>
  <c r="H21" i="4" s="1"/>
  <c r="H53" i="4"/>
  <c r="H55" i="4"/>
  <c r="K10" i="4"/>
  <c r="K14" i="4"/>
  <c r="K18" i="4"/>
  <c r="E67" i="4"/>
  <c r="E73" i="4"/>
  <c r="I67" i="4"/>
  <c r="K66" i="4"/>
  <c r="K71" i="4"/>
  <c r="E80" i="4"/>
  <c r="I80" i="4"/>
  <c r="K86" i="4"/>
  <c r="K88" i="4"/>
  <c r="K90" i="4"/>
  <c r="K92" i="4"/>
  <c r="K96" i="4"/>
  <c r="K102" i="4"/>
  <c r="E53" i="4"/>
  <c r="E55" i="4"/>
  <c r="E7" i="4"/>
  <c r="E21" i="4" s="1"/>
  <c r="I7" i="4"/>
  <c r="I21" i="4"/>
  <c r="I53" i="4"/>
  <c r="I55" i="4" s="1"/>
  <c r="K9" i="4"/>
  <c r="K13" i="4"/>
  <c r="K17" i="4"/>
  <c r="K24" i="4"/>
  <c r="C23" i="4"/>
  <c r="K26" i="4"/>
  <c r="K28" i="4"/>
  <c r="K30" i="4"/>
  <c r="K32" i="4"/>
  <c r="K34" i="4"/>
  <c r="K36" i="4"/>
  <c r="K38" i="4"/>
  <c r="K40" i="4"/>
  <c r="K42" i="4"/>
  <c r="K44" i="4"/>
  <c r="K47" i="4"/>
  <c r="C46" i="4"/>
  <c r="K49" i="4"/>
  <c r="K51" i="4"/>
  <c r="F67" i="4"/>
  <c r="F73" i="4" s="1"/>
  <c r="K70" i="4"/>
  <c r="F80" i="4"/>
  <c r="K79" i="4"/>
  <c r="J86" i="4"/>
  <c r="J91" i="4"/>
  <c r="J92" i="4"/>
  <c r="J87" i="4"/>
  <c r="J90" i="4"/>
  <c r="J89" i="4"/>
  <c r="J88" i="4"/>
  <c r="J96" i="4"/>
  <c r="J93" i="4"/>
  <c r="F53" i="4"/>
  <c r="F55" i="4" s="1"/>
  <c r="F7" i="4"/>
  <c r="F21" i="4" s="1"/>
  <c r="K8" i="4"/>
  <c r="K12" i="4"/>
  <c r="K16" i="4"/>
  <c r="K20" i="4"/>
  <c r="D23" i="4"/>
  <c r="J23" i="4" s="1"/>
  <c r="D46" i="4"/>
  <c r="K64" i="4"/>
  <c r="C67" i="4"/>
  <c r="G67" i="4"/>
  <c r="G73" i="4" s="1"/>
  <c r="K69" i="4"/>
  <c r="G80" i="4"/>
  <c r="K87" i="4"/>
  <c r="K89" i="4"/>
  <c r="K91" i="4"/>
  <c r="K93" i="4"/>
  <c r="K99" i="4"/>
  <c r="K101" i="4"/>
  <c r="D117" i="4"/>
  <c r="B57" i="4" s="1"/>
  <c r="C74" i="4"/>
  <c r="C53" i="4"/>
  <c r="K6" i="4"/>
  <c r="G7" i="4"/>
  <c r="G21" i="4" s="1"/>
  <c r="G53" i="4"/>
  <c r="G55" i="4" s="1"/>
  <c r="K11" i="4"/>
  <c r="K15" i="4"/>
  <c r="K19" i="4"/>
  <c r="K25" i="4"/>
  <c r="K27" i="4"/>
  <c r="K29" i="4"/>
  <c r="K31" i="4"/>
  <c r="K33" i="4"/>
  <c r="K37" i="4"/>
  <c r="K39" i="4"/>
  <c r="K41" i="4"/>
  <c r="K43" i="4"/>
  <c r="K45" i="4"/>
  <c r="K48" i="4"/>
  <c r="K50" i="4"/>
  <c r="K54" i="4"/>
  <c r="J68" i="4"/>
  <c r="J65" i="4"/>
  <c r="J69" i="4"/>
  <c r="J70" i="4"/>
  <c r="D67" i="4"/>
  <c r="D73" i="4"/>
  <c r="J71" i="4"/>
  <c r="J66" i="4"/>
  <c r="J64" i="4"/>
  <c r="H67" i="4"/>
  <c r="H73" i="4"/>
  <c r="K68" i="4"/>
  <c r="K72" i="4"/>
  <c r="D80" i="4"/>
  <c r="J80" i="4" s="1"/>
  <c r="J78" i="4"/>
  <c r="J79" i="4"/>
  <c r="H80" i="4"/>
  <c r="J102" i="4"/>
  <c r="J101" i="4"/>
  <c r="J97" i="4"/>
  <c r="J99" i="4"/>
  <c r="J98" i="4"/>
  <c r="C55" i="4"/>
  <c r="K67" i="4" l="1"/>
  <c r="B83" i="5"/>
  <c r="B1" i="5"/>
  <c r="B59" i="5"/>
  <c r="B1" i="4"/>
  <c r="B81" i="4"/>
  <c r="J100" i="4"/>
  <c r="K97" i="4"/>
  <c r="C80" i="4"/>
  <c r="K80" i="4" s="1"/>
  <c r="I73" i="4"/>
  <c r="K65" i="4"/>
  <c r="C73" i="4"/>
  <c r="K73" i="4" s="1"/>
  <c r="J67" i="4"/>
  <c r="J73" i="4"/>
  <c r="C75" i="4"/>
  <c r="K46" i="4"/>
  <c r="J46" i="4"/>
  <c r="K35" i="4"/>
  <c r="K23" i="4"/>
  <c r="D22" i="4"/>
  <c r="C22" i="4"/>
  <c r="D75" i="4"/>
  <c r="J55" i="4"/>
  <c r="K53" i="4"/>
  <c r="K55" i="4"/>
  <c r="J53" i="4"/>
  <c r="K22" i="4" l="1"/>
  <c r="C7" i="4"/>
  <c r="C21" i="4" s="1"/>
  <c r="D7" i="4"/>
  <c r="J22" i="4"/>
  <c r="J7" i="4" l="1"/>
  <c r="L20" i="4"/>
  <c r="K7" i="4"/>
  <c r="L10" i="4"/>
  <c r="L13" i="4"/>
  <c r="L9" i="4"/>
  <c r="L8" i="4"/>
  <c r="L11" i="4"/>
  <c r="L19" i="4"/>
  <c r="D21" i="4"/>
  <c r="L7" i="4"/>
  <c r="L16" i="4"/>
  <c r="L18" i="4"/>
  <c r="L17" i="4"/>
  <c r="L12" i="4"/>
  <c r="L15" i="4"/>
  <c r="L14" i="4"/>
  <c r="J21" i="4" l="1"/>
  <c r="L21" i="4"/>
  <c r="K21" i="4"/>
</calcChain>
</file>

<file path=xl/sharedStrings.xml><?xml version="1.0" encoding="utf-8"?>
<sst xmlns="http://schemas.openxmlformats.org/spreadsheetml/2006/main" count="870" uniqueCount="443">
  <si>
    <t xml:space="preserve">Wyszczególnienie </t>
  </si>
  <si>
    <t xml:space="preserve">Wykonanie </t>
  </si>
  <si>
    <t xml:space="preserve">Struktura </t>
  </si>
  <si>
    <t>Struktura dochodów  własnych</t>
  </si>
  <si>
    <t>w %%</t>
  </si>
  <si>
    <t>DOCHODY OGÓŁEM</t>
  </si>
  <si>
    <t>w tym:   inwestycyjne</t>
  </si>
  <si>
    <t xml:space="preserve">na zadania własne </t>
  </si>
  <si>
    <t>otrzymane z funduszy celowych</t>
  </si>
  <si>
    <t>na zadania z zakresu adm. rządowej</t>
  </si>
  <si>
    <t xml:space="preserve">na zadania realizowane na podstawie porozumień  z org. adm. rządowej </t>
  </si>
  <si>
    <t>na zadania realizowane na podstawie porozumień między jst</t>
  </si>
  <si>
    <t>A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</si>
  <si>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</si>
  <si>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</si>
  <si>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</si>
  <si>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</si>
  <si>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</si>
  <si>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</si>
  <si>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</si>
  <si>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</si>
  <si>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</si>
  <si>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</si>
  <si>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</si>
  <si>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</si>
  <si>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</si>
  <si>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</si>
  <si>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</si>
  <si>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</si>
  <si>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</si>
  <si>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</si>
  <si>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</si>
  <si>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</si>
  <si>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</si>
  <si>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</si>
  <si>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</si>
  <si>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</si>
  <si>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</si>
  <si>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</si>
  <si>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</si>
  <si>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Zobowiązania wg stanu na koniec 
okresu sprawozdawczego</t>
  </si>
  <si>
    <t>w tym:   wydatki na inwestycje</t>
  </si>
  <si>
    <t xml:space="preserve">wydatki majątkowe      </t>
  </si>
  <si>
    <t>B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</si>
  <si>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</si>
  <si>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</si>
  <si>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</si>
  <si>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</si>
  <si>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</si>
  <si>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</si>
  <si>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</si>
  <si>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</si>
  <si>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</si>
  <si>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C</t>
  </si>
  <si>
    <t xml:space="preserve">WYNIK  </t>
  </si>
  <si>
    <t>Wyszczególnienie</t>
  </si>
  <si>
    <t>Plan (po zmianach)</t>
  </si>
  <si>
    <t>D1</t>
  </si>
  <si>
    <t>D11</t>
  </si>
  <si>
    <t>D12</t>
  </si>
  <si>
    <t>D13</t>
  </si>
  <si>
    <t>D14</t>
  </si>
  <si>
    <t>D15</t>
  </si>
  <si>
    <t>D16</t>
  </si>
  <si>
    <t>D2</t>
  </si>
  <si>
    <t>D21</t>
  </si>
  <si>
    <t>D22</t>
  </si>
  <si>
    <t>Wskaźnik 
(3:2)</t>
  </si>
  <si>
    <t>A28</t>
  </si>
  <si>
    <t>A29</t>
  </si>
  <si>
    <t xml:space="preserve">podatek dochodowy od osób fizycznych </t>
  </si>
  <si>
    <t xml:space="preserve">podatek rolny  </t>
  </si>
  <si>
    <t xml:space="preserve">podatek od nieruchomości </t>
  </si>
  <si>
    <t xml:space="preserve">podatek leśny        </t>
  </si>
  <si>
    <t>podatek od środków transportowych</t>
  </si>
  <si>
    <t>dochody z majątku</t>
  </si>
  <si>
    <t xml:space="preserve">pozostałe dochody </t>
  </si>
  <si>
    <t>A1/A</t>
  </si>
  <si>
    <t>A2/A</t>
  </si>
  <si>
    <t>A3/A</t>
  </si>
  <si>
    <t>A4/A</t>
  </si>
  <si>
    <t>A5/A</t>
  </si>
  <si>
    <t>A6/A</t>
  </si>
  <si>
    <t>A7/A</t>
  </si>
  <si>
    <t>A8/A</t>
  </si>
  <si>
    <t>A9/A</t>
  </si>
  <si>
    <t>A10/A</t>
  </si>
  <si>
    <t>A11/A</t>
  </si>
  <si>
    <t>A12/A</t>
  </si>
  <si>
    <t>A13/A</t>
  </si>
  <si>
    <t>A14/A</t>
  </si>
  <si>
    <t>A15/A</t>
  </si>
  <si>
    <t>A16/A</t>
  </si>
  <si>
    <t>A17/A</t>
  </si>
  <si>
    <t>A18/A</t>
  </si>
  <si>
    <t>A19/A</t>
  </si>
  <si>
    <t>A20/A</t>
  </si>
  <si>
    <t>A21/A</t>
  </si>
  <si>
    <t>A22/A</t>
  </si>
  <si>
    <t>A23/A</t>
  </si>
  <si>
    <t>A24/A</t>
  </si>
  <si>
    <t>A25/A</t>
  </si>
  <si>
    <t>A26/A</t>
  </si>
  <si>
    <t>A27/A</t>
  </si>
  <si>
    <t>A28/A</t>
  </si>
  <si>
    <t>A29/A</t>
  </si>
  <si>
    <t>R4/R1</t>
  </si>
  <si>
    <t>A2/A1</t>
  </si>
  <si>
    <t>A3/A1</t>
  </si>
  <si>
    <t>A4/A1</t>
  </si>
  <si>
    <t>A5/A1</t>
  </si>
  <si>
    <t>A6/A1</t>
  </si>
  <si>
    <t>A7/A1</t>
  </si>
  <si>
    <t>A8/A1</t>
  </si>
  <si>
    <t>A9/A1</t>
  </si>
  <si>
    <t>A10/A1</t>
  </si>
  <si>
    <t>A11/A1</t>
  </si>
  <si>
    <t>A12/A1</t>
  </si>
  <si>
    <t>A13/A1</t>
  </si>
  <si>
    <t>A14/A1</t>
  </si>
  <si>
    <t>B1/B</t>
  </si>
  <si>
    <t>B2/B</t>
  </si>
  <si>
    <t>B3/B</t>
  </si>
  <si>
    <t>B4/B</t>
  </si>
  <si>
    <t>B5/B</t>
  </si>
  <si>
    <t>B6/B</t>
  </si>
  <si>
    <t>B7/B</t>
  </si>
  <si>
    <t>B8/B</t>
  </si>
  <si>
    <t>B9/B</t>
  </si>
  <si>
    <t>C=A-B</t>
  </si>
  <si>
    <t>DW</t>
  </si>
  <si>
    <t>B3=B-B1</t>
  </si>
  <si>
    <t>Struktura</t>
  </si>
  <si>
    <t>Wskaźnik</t>
  </si>
  <si>
    <t>D1W/D1P</t>
  </si>
  <si>
    <t>D11W/D1W</t>
  </si>
  <si>
    <t>D11W/D11P</t>
  </si>
  <si>
    <t>D12W/D1W</t>
  </si>
  <si>
    <t>D12W/D12P</t>
  </si>
  <si>
    <t>D13W/D1W</t>
  </si>
  <si>
    <t>D13W/D13P</t>
  </si>
  <si>
    <t>D14W/D1W</t>
  </si>
  <si>
    <t>D14W/D14P</t>
  </si>
  <si>
    <t>D15W/D1W</t>
  </si>
  <si>
    <t>D15W/D15P</t>
  </si>
  <si>
    <t>D16W/D1W</t>
  </si>
  <si>
    <t>D16W/D16P</t>
  </si>
  <si>
    <t>D21W/D2W</t>
  </si>
  <si>
    <t>D21W/D21P</t>
  </si>
  <si>
    <t>D22W/D2W</t>
  </si>
  <si>
    <t>D22W/D22P</t>
  </si>
  <si>
    <t xml:space="preserve">podatek od spadków i darowizn       </t>
  </si>
  <si>
    <t>podatek od czynności cywilnoprawnych</t>
  </si>
  <si>
    <t xml:space="preserve">wpływy z opłaty skarbowej        </t>
  </si>
  <si>
    <t>wpływy z opłaty eksploatacyjnej</t>
  </si>
  <si>
    <t>wpływy z opłaty targowej</t>
  </si>
  <si>
    <t>A30</t>
  </si>
  <si>
    <t>A30/A</t>
  </si>
  <si>
    <t>A15/A1</t>
  </si>
  <si>
    <t>A15=A1-A2-A3-A4-A5-A6-A7-A8-A9-A10-A11-A12-A13-A14</t>
  </si>
  <si>
    <t>D2W/D2P</t>
  </si>
  <si>
    <t>A31</t>
  </si>
  <si>
    <t>A32</t>
  </si>
  <si>
    <t>A31/A</t>
  </si>
  <si>
    <t>A32/A</t>
  </si>
  <si>
    <t>D111</t>
  </si>
  <si>
    <t>na realizację programów i projektów realizowanych z udziałem środków pochodzących z funduszy strukturalnych i Funduszu Spójności UE, w tym:</t>
  </si>
  <si>
    <t>D111W/D1W</t>
  </si>
  <si>
    <t>D111W/D111P</t>
  </si>
  <si>
    <t xml:space="preserve">  spłaty pożyczek udzielonych</t>
  </si>
  <si>
    <t xml:space="preserve">  nadwyżka z lat ubiegłych</t>
  </si>
  <si>
    <t xml:space="preserve">  papiery wartościowe</t>
  </si>
  <si>
    <t xml:space="preserve">  prywatyzacja majątku j.s.t.</t>
  </si>
  <si>
    <t xml:space="preserve"> ROZCHODY OGÓŁEM     z tego:</t>
  </si>
  <si>
    <t>D211</t>
  </si>
  <si>
    <t>D211W/D2W</t>
  </si>
  <si>
    <t>D211W/D211P</t>
  </si>
  <si>
    <t xml:space="preserve">  wykup papierów wartościowych</t>
  </si>
  <si>
    <t xml:space="preserve">  wykup obligacji samorządowych</t>
  </si>
  <si>
    <t>w tym wymagalne:</t>
  </si>
  <si>
    <t xml:space="preserve">podatek dochodowy od osób prawnych </t>
  </si>
  <si>
    <r>
      <t xml:space="preserve">Plan 
(po zmianach)
</t>
    </r>
    <r>
      <rPr>
        <b/>
        <sz val="8"/>
        <rFont val="Arial"/>
        <family val="2"/>
        <charset val="238"/>
      </rPr>
      <t>R1</t>
    </r>
  </si>
  <si>
    <r>
      <t xml:space="preserve">Zaangażowanie
</t>
    </r>
    <r>
      <rPr>
        <b/>
        <sz val="8"/>
        <rFont val="Arial"/>
        <family val="2"/>
        <charset val="238"/>
      </rPr>
      <t>R10</t>
    </r>
  </si>
  <si>
    <r>
      <t xml:space="preserve">Wydatki
 wykonane
</t>
    </r>
    <r>
      <rPr>
        <b/>
        <sz val="8"/>
        <rFont val="Arial"/>
        <family val="2"/>
        <charset val="238"/>
      </rPr>
      <t>R4</t>
    </r>
  </si>
  <si>
    <r>
      <t xml:space="preserve">ogółem
</t>
    </r>
    <r>
      <rPr>
        <b/>
        <sz val="8"/>
        <rFont val="Arial"/>
        <family val="2"/>
        <charset val="238"/>
      </rPr>
      <t>R11</t>
    </r>
  </si>
  <si>
    <r>
      <t xml:space="preserve">Plan 
(po zmianach)
</t>
    </r>
    <r>
      <rPr>
        <b/>
        <sz val="10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</si>
  <si>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10"/>
        <color indexed="8"/>
        <rFont val="Arial"/>
        <family val="2"/>
        <charset val="238"/>
      </rPr>
      <t>R4</t>
    </r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</si>
  <si>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</si>
  <si>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</si>
  <si>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</si>
  <si>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</si>
  <si>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</si>
  <si>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>uzupełnienie subwencji ogólnej</t>
  </si>
  <si>
    <t xml:space="preserve">podatek od dział. gosp. osób fizycznych, opłacany w formie karty podatkowej </t>
  </si>
  <si>
    <t>część równoważąca</t>
  </si>
  <si>
    <t>część rekompensująca</t>
  </si>
  <si>
    <t>część oświatowa</t>
  </si>
  <si>
    <t>część wyrównawcza</t>
  </si>
  <si>
    <t>pozostałe wydatki</t>
  </si>
  <si>
    <t>wydatki na obsługę długu</t>
  </si>
  <si>
    <t>dotacje</t>
  </si>
  <si>
    <r>
      <t xml:space="preserve">powstałe w latach ubiegłych
</t>
    </r>
    <r>
      <rPr>
        <b/>
        <sz val="10"/>
        <rFont val="Arial"/>
        <family val="2"/>
        <charset val="238"/>
      </rPr>
      <t>R12U</t>
    </r>
  </si>
  <si>
    <r>
      <t xml:space="preserve">powstałe w roku bieżącym
</t>
    </r>
    <r>
      <rPr>
        <b/>
        <sz val="10"/>
        <rFont val="Arial"/>
        <family val="2"/>
        <charset val="238"/>
      </rPr>
      <t>R12B</t>
    </r>
  </si>
  <si>
    <t>B=Σ§§</t>
  </si>
  <si>
    <t>PL</t>
  </si>
  <si>
    <t>SO</t>
  </si>
  <si>
    <t>SU</t>
  </si>
  <si>
    <t>PO</t>
  </si>
  <si>
    <t>UZ</t>
  </si>
  <si>
    <t>OT</t>
  </si>
  <si>
    <t>A = Σ §§</t>
  </si>
  <si>
    <t>ZA</t>
  </si>
  <si>
    <t>WW</t>
  </si>
  <si>
    <t>ZO</t>
  </si>
  <si>
    <t>LU</t>
  </si>
  <si>
    <t>RB</t>
  </si>
  <si>
    <t>WN</t>
  </si>
  <si>
    <t>P</t>
  </si>
  <si>
    <t>W</t>
  </si>
  <si>
    <r>
      <t xml:space="preserve">Plan 
(po zmianach)
</t>
    </r>
    <r>
      <rPr>
        <b/>
        <sz val="10"/>
        <rFont val="Arial"/>
        <family val="2"/>
        <charset val="238"/>
      </rPr>
      <t>R1</t>
    </r>
  </si>
  <si>
    <r>
      <t xml:space="preserve">Zaangażowanie
</t>
    </r>
    <r>
      <rPr>
        <b/>
        <sz val="10"/>
        <rFont val="Arial"/>
        <family val="2"/>
        <charset val="238"/>
      </rPr>
      <t>R10</t>
    </r>
  </si>
  <si>
    <r>
      <t xml:space="preserve">Wydatki
 wykonane
</t>
    </r>
    <r>
      <rPr>
        <b/>
        <sz val="10"/>
        <rFont val="Arial"/>
        <family val="2"/>
        <charset val="238"/>
      </rPr>
      <t>R4</t>
    </r>
  </si>
  <si>
    <r>
      <t xml:space="preserve">ogółem
</t>
    </r>
    <r>
      <rPr>
        <b/>
        <sz val="10"/>
        <rFont val="Arial"/>
        <family val="2"/>
        <charset val="238"/>
      </rPr>
      <t>R11</t>
    </r>
  </si>
  <si>
    <t>#</t>
  </si>
  <si>
    <t>Razem dochody własne 
z tego:</t>
  </si>
  <si>
    <t>Dotacje celowe 
z tego:</t>
  </si>
  <si>
    <t>Subwencja ogólna 
z tego:</t>
  </si>
  <si>
    <t>WYDATKI OGÓŁEM 
z tego:</t>
  </si>
  <si>
    <t>wydatki bieżące 
z tego:</t>
  </si>
  <si>
    <t>Przychody ogółem 
z tego:</t>
  </si>
  <si>
    <t>Rozchody ogółem 
z tego:</t>
  </si>
  <si>
    <t>kwartał</t>
  </si>
  <si>
    <t>rok</t>
  </si>
  <si>
    <t>stanNa</t>
  </si>
  <si>
    <t>Symbol=D1</t>
  </si>
  <si>
    <t>Symbol=D11</t>
  </si>
  <si>
    <t>Symbol=D111</t>
  </si>
  <si>
    <t>Symbol=D12</t>
  </si>
  <si>
    <t>Symbol=D13</t>
  </si>
  <si>
    <t>Symbol=D14</t>
  </si>
  <si>
    <t>Symbol=D15</t>
  </si>
  <si>
    <t>Symbol=D16</t>
  </si>
  <si>
    <t>Symbol=D2</t>
  </si>
  <si>
    <t>Symbol=D21</t>
  </si>
  <si>
    <t>Symbol=D211</t>
  </si>
  <si>
    <t>Symbol=D22</t>
  </si>
  <si>
    <t>paragraf zawiera(002)</t>
  </si>
  <si>
    <t>paragraf zawiera(001)</t>
  </si>
  <si>
    <t>paragraf zawiera(032)</t>
  </si>
  <si>
    <t>paragraf zawiera(031)</t>
  </si>
  <si>
    <t>paragraf zawiera(033)</t>
  </si>
  <si>
    <t>paragraf zawiera(034)</t>
  </si>
  <si>
    <t>paragraf zawiera(035)</t>
  </si>
  <si>
    <t>paragraf zawiera(036)</t>
  </si>
  <si>
    <t>paragraf zawiera(050)</t>
  </si>
  <si>
    <t>paragraf zawiera(041)</t>
  </si>
  <si>
    <t>paragraf zawiera(046)</t>
  </si>
  <si>
    <t>paragraf zawiera(043)</t>
  </si>
  <si>
    <t>paragraf zawiera(202,632)</t>
  </si>
  <si>
    <t>paragraf zawiera(632)</t>
  </si>
  <si>
    <t>paragraf zawiera(231,232,233,288,661,662,663,664)</t>
  </si>
  <si>
    <t>paragraf zawiera(661,662,663,664)</t>
  </si>
  <si>
    <t>paragraf zawiera(244,626)</t>
  </si>
  <si>
    <t>paragraf zawiera(626)</t>
  </si>
  <si>
    <t>paragraf zawiera(292) i dzial zawiera(758) i rozdzial zawiera(75807)</t>
  </si>
  <si>
    <t>paragraf zawiera(292) i dzial zawiera(758) i rozdzial zawiera(75801)</t>
  </si>
  <si>
    <t>paragraf zawiera(292) i dzial zawiera(758) i rozdzial zawiera(75805)</t>
  </si>
  <si>
    <t>paragraf zawiera(292) i dzial zawiera(758) i rozdzial zawiera(75831)</t>
  </si>
  <si>
    <t>wydatki z tytułu udzielania poręczeń i gwarancji</t>
  </si>
  <si>
    <t>D23</t>
  </si>
  <si>
    <t>Symbol=D23</t>
  </si>
  <si>
    <t>D23W/D23P</t>
  </si>
  <si>
    <t>D23W/D2W</t>
  </si>
  <si>
    <t>paragraf zawiera(200,620)</t>
  </si>
  <si>
    <t>paragraf zawiera(620)</t>
  </si>
  <si>
    <t>A33</t>
  </si>
  <si>
    <t>A34</t>
  </si>
  <si>
    <t>A33/A</t>
  </si>
  <si>
    <t>A34/A</t>
  </si>
  <si>
    <t>Dotacje ogółem                z tego:</t>
  </si>
  <si>
    <t>A35</t>
  </si>
  <si>
    <t>A35/A</t>
  </si>
  <si>
    <t>świadczenia na rzecz osób fizycznych</t>
  </si>
  <si>
    <r>
      <t xml:space="preserve">Dotacje </t>
    </r>
    <r>
      <rPr>
        <b/>
        <sz val="10"/>
        <color indexed="8"/>
        <rFont val="Arial"/>
        <family val="2"/>
        <charset val="238"/>
      </rPr>
      <t>§§ 200 i 620</t>
    </r>
  </si>
  <si>
    <r>
      <t xml:space="preserve">w tym:inwestycyjne </t>
    </r>
    <r>
      <rPr>
        <sz val="8"/>
        <color indexed="8"/>
        <rFont val="Arial"/>
        <family val="2"/>
        <charset val="238"/>
      </rPr>
      <t>§ 620</t>
    </r>
  </si>
  <si>
    <t>tytul</t>
  </si>
  <si>
    <t>majątkowe</t>
  </si>
  <si>
    <t>bieżące</t>
  </si>
  <si>
    <t>UE</t>
  </si>
  <si>
    <t>wydatki majątkowe</t>
  </si>
  <si>
    <t>wydatki bieżące</t>
  </si>
  <si>
    <t>AM</t>
  </si>
  <si>
    <t>AB</t>
  </si>
  <si>
    <t>AB=A-AM</t>
  </si>
  <si>
    <t>Wydatki Ogółem</t>
  </si>
  <si>
    <t>UE1</t>
  </si>
  <si>
    <t>UE2</t>
  </si>
  <si>
    <t>UE2=UE-UE1</t>
  </si>
  <si>
    <t>UE1/UE</t>
  </si>
  <si>
    <t>UE2/UE</t>
  </si>
  <si>
    <t>AM/A</t>
  </si>
  <si>
    <t>AB/A</t>
  </si>
  <si>
    <t>w złotych</t>
  </si>
  <si>
    <t>paragraf zawiera(630)</t>
  </si>
  <si>
    <t>A36</t>
  </si>
  <si>
    <t>A37</t>
  </si>
  <si>
    <t>A36/A</t>
  </si>
  <si>
    <t>A37/A</t>
  </si>
  <si>
    <t>z tytułu pomocy finansowej udzielanej między jst na dofinansowanie własnych zadań</t>
  </si>
  <si>
    <t xml:space="preserve"> E</t>
  </si>
  <si>
    <t xml:space="preserve"> E1</t>
  </si>
  <si>
    <t xml:space="preserve"> E2</t>
  </si>
  <si>
    <t xml:space="preserve"> E3</t>
  </si>
  <si>
    <t xml:space="preserve"> E4</t>
  </si>
  <si>
    <t xml:space="preserve"> E5</t>
  </si>
  <si>
    <t>FINANSOWANIE DEFICYTU (E1+E2+E3+E4+E5)  z tego:</t>
  </si>
  <si>
    <t>sprzedaż papierów wartościowych wyemitowanych przez jednostkę samorządu terytorialnego</t>
  </si>
  <si>
    <t>kredyty i pożyczki</t>
  </si>
  <si>
    <t>prywatyzacja majątku jednostki samorządu terytorialnego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</si>
  <si>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</si>
  <si>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t>Symbol=E1</t>
  </si>
  <si>
    <t>Symbol=E</t>
  </si>
  <si>
    <t>Symbol=E2</t>
  </si>
  <si>
    <t>Symbol=E3</t>
  </si>
  <si>
    <t>Symbol=E4</t>
  </si>
  <si>
    <t>Symbol=E5</t>
  </si>
  <si>
    <r>
      <t xml:space="preserve">Dotacje </t>
    </r>
    <r>
      <rPr>
        <b/>
        <sz val="10"/>
        <color indexed="8"/>
        <rFont val="Arial"/>
        <family val="2"/>
        <charset val="238"/>
      </rPr>
      <t>§§ 205 i 625</t>
    </r>
  </si>
  <si>
    <t>paragraf zawiera(205,625)</t>
  </si>
  <si>
    <t>paragraf zawiera(625)</t>
  </si>
  <si>
    <r>
      <t xml:space="preserve">w tym:inwestycyjne </t>
    </r>
    <r>
      <rPr>
        <sz val="8"/>
        <color indexed="8"/>
        <rFont val="Arial"/>
        <family val="2"/>
        <charset val="238"/>
      </rPr>
      <t>§ 625</t>
    </r>
  </si>
  <si>
    <t>A38</t>
  </si>
  <si>
    <t>A39</t>
  </si>
  <si>
    <t>A38/A</t>
  </si>
  <si>
    <t>A39/A</t>
  </si>
  <si>
    <r>
      <t xml:space="preserve">Wydatki, które nie wygasły 
z upływem roku budżetowego) 
(art.263 ust. 2 ustawy 
o finansach publicznych) 
</t>
    </r>
    <r>
      <rPr>
        <b/>
        <sz val="10"/>
        <rFont val="Arial"/>
        <family val="2"/>
        <charset val="238"/>
      </rPr>
      <t>R9</t>
    </r>
  </si>
  <si>
    <r>
      <t xml:space="preserve">Wydatki, które nie wygasły 
z upływem roku budżetowego) 
(art.263 ust. 2 ustawy 
o finansach publicznych)                          </t>
    </r>
    <r>
      <rPr>
        <b/>
        <sz val="8"/>
        <rFont val="Arial"/>
        <family val="2"/>
        <charset val="238"/>
      </rPr>
      <t>R9</t>
    </r>
  </si>
  <si>
    <t>paragraf zawiera(073,074,075,076,077,078,080,081,087)</t>
  </si>
  <si>
    <t>kredyty, pożyczki, emisja papierów wartościowych w tym:</t>
  </si>
  <si>
    <t>ze sprzedaży papierów wartościowych</t>
  </si>
  <si>
    <t>spłata  udzielonych pożyczek</t>
  </si>
  <si>
    <t>prywatyzacja majątku JST</t>
  </si>
  <si>
    <t>spłaty kredytów i pożyczek, wykup papierów wartościowych w tym:</t>
  </si>
  <si>
    <t>wykup papierów wartościowych</t>
  </si>
  <si>
    <t>udzielone pożyczki</t>
  </si>
  <si>
    <t>Dotacje §§ 200 i 620</t>
  </si>
  <si>
    <t>w tym: inwestycyjne § 620</t>
  </si>
  <si>
    <t>Dotacje §§ 205 i 625</t>
  </si>
  <si>
    <t>w tym: inwestycyjne § 625</t>
  </si>
  <si>
    <t>paragraf zawiera(271,278,630)</t>
  </si>
  <si>
    <t>paragraf zawiera(802,803) lub grupa zawiera(1800)</t>
  </si>
  <si>
    <t>B9=B3-B4-B5-B6-B7-B8</t>
  </si>
  <si>
    <t>paragraf zawiera(801,804,806,807,809,811,812,813) lub grupa zawiera(1810)</t>
  </si>
  <si>
    <t>finpar zawiera(1,2,5,6,7,8,9) lub grupa zawiera(1101,1102,1201,1202,1301,1302,1401,1402,1601,1602,1611,1612)</t>
  </si>
  <si>
    <t>otrzymane ze środków z Funduszu Przeciwdziałania COVID-19 (m.in. Z Rządowego Funduszu Inwestycji Lokalnych)</t>
  </si>
  <si>
    <t>A40</t>
  </si>
  <si>
    <t>A41</t>
  </si>
  <si>
    <t>A40/A</t>
  </si>
  <si>
    <t>A41/A</t>
  </si>
  <si>
    <t>otrzymane ze środków z Funduszu Przeciwdziałania COVID-19 (m.in. z Rządowego Funduszu Inwestycji Lokalnych)</t>
  </si>
  <si>
    <t>wolne środki, o których mowa w art. 217 ust. 2 pkt 6 ustawy o finansach publicznych</t>
  </si>
  <si>
    <t>na finansowanie lub dofinansowanie zadań inwestycyjnych obiektów zabytkowych oraz prac remontowych i konserwatorskich przy zabytkach</t>
  </si>
  <si>
    <t>w tym: inwestycyjne</t>
  </si>
  <si>
    <t>paragraf zawiera (273, 656)</t>
  </si>
  <si>
    <t>paragraf zawiera (656)</t>
  </si>
  <si>
    <t>A42</t>
  </si>
  <si>
    <t>A16=A17+A34+A36</t>
  </si>
  <si>
    <t>A38=A39+A40+A41+A42+A43</t>
  </si>
  <si>
    <t>A43</t>
  </si>
  <si>
    <t>E6</t>
  </si>
  <si>
    <t>E7</t>
  </si>
  <si>
    <t>Symbol=E6</t>
  </si>
  <si>
    <t>Symbol=E7</t>
  </si>
  <si>
    <t>spłaty udzielonych pożyczek w latach ubiegłych</t>
  </si>
  <si>
    <t>A42/A</t>
  </si>
  <si>
    <t>A43/A</t>
  </si>
  <si>
    <t>nadwyżka budżetu jednostki samorządu terytorialnego z lat ubiegłych, pomniejszona o środki określone w art. 217 ust. 2 pkt 8 ustawy o finansach publicznych</t>
  </si>
  <si>
    <t>wynagrodzenia i składki od nich naliczane</t>
  </si>
  <si>
    <t>nadwyżka z lat ubiegłych, pomniejszona o niewykorzystane środki pieniężne, o których mowa w art. 217 ust. 2 pkt 8 ustawy o finansach publicznych</t>
  </si>
  <si>
    <t>Dotacje ogółem 
z tego:</t>
  </si>
  <si>
    <t>spłaty kredytów i pożyczek, wykup papierów wartościowych 
w tym: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</si>
  <si>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</si>
  <si>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Dochody bieżące 
minus 
wydatki bieżące</t>
  </si>
  <si>
    <t>Wydatki ogółem UE 
z tego:</t>
  </si>
  <si>
    <t>kredyty, pożyczki, emisja papierów wartościowych
w tym:</t>
  </si>
  <si>
    <t>otrzymane z Funduszu Pomocy lub z innych środków (*)</t>
  </si>
  <si>
    <t>paragraf zawiera(210,638,253,639)</t>
  </si>
  <si>
    <t>paragraf zawiera(638,639)</t>
  </si>
  <si>
    <t>AUkr</t>
  </si>
  <si>
    <t>AUkrinw</t>
  </si>
  <si>
    <t>paragraf zawiera(218,609,610,637)</t>
  </si>
  <si>
    <t>paragraf zawiera(609,610,637)</t>
  </si>
  <si>
    <t>paragraf zawiera(275,279) i dzial zawiera(758) i rozdzial zawiera(75802,75819)</t>
  </si>
  <si>
    <t>paragraf zawiera(076,077,078,080,087,609,610,618,620,625,626,628,629,630,631,632,633,634,635,637,638,639,641,642,643,644,651,652,653,656,661,662,663,664,665,666,668,669,670,671)</t>
  </si>
  <si>
    <t>paragraf zawiera(601,603,605,606,610,613,614,615,617,619,620,621,622,623,625,630,637,647,648,649,656,657,658,659,661,662,663,664,665,666,669,672,680) lub grupa zawiera(1600,1601,1602,1610,1611,1612,1620,1630)</t>
  </si>
  <si>
    <t>paragraf zawiera(605,606,610,613,614,615,617,619,620,621,622,623,625,630,637,647,648,649,656,657,658,659,661,662,663,664,665,666,669,672,680) lub grupa zawiera(1600,1601,1602,1610,1611,1612)</t>
  </si>
  <si>
    <t>paragraf zawiera(401,402,404,405,406,407,408,409,410,411,412,417,418,471,474,475,478,479,480,483,484,485) lub grupa zawiera(1400,1401,1402,1403)</t>
  </si>
  <si>
    <t>paragraf zawiera(200,205,209,220,226,227,231,232,233,234,236,241,243,248,249,251,254,255,256,257,258,259,262,263,264,265,266,271,272,273,274,278,280,281,282,283,288,290) lub grupa zawiera(1200,1201,1202,1203)</t>
  </si>
  <si>
    <t>paragraf zawiera(302,303,304,305,307,311,320,321,324,325,326,328,329) lub grupa zawiera (1300,1301,1302,1303)</t>
  </si>
  <si>
    <t xml:space="preserve">Wydatki finansowane i współfinansowane środkami, o których mowa w art. 5 ust. 1 pkt 2 i 3  </t>
  </si>
  <si>
    <t>paragraf zawiera(601,603,605,606,610,613,614,615,617,619,620,621,622,623,625,630,637,647,648,649,656,657,658,659,661,662,663,664,665,666,669,672,680) i finpar zawiera(1,2,5,6,7,8,9) lub grupa zawiera(1601,1602,1611,1612)</t>
  </si>
  <si>
    <t>AUkr/A</t>
  </si>
  <si>
    <t>AUkrinw/A</t>
  </si>
  <si>
    <t>paragraf zawiera(201,206,208,631,634,671)</t>
  </si>
  <si>
    <t>paragraf zawiera(631,634,671)</t>
  </si>
  <si>
    <t>paragraf zawiera(203,204,207,287,633,670)</t>
  </si>
  <si>
    <t>paragraf zawiera(633,670)</t>
  </si>
  <si>
    <t>(*) na finansowanie lub dofinansowanie realizacji zadań w zakresie pomocy obywatelom Ukrainy</t>
  </si>
  <si>
    <t>WYDATKI Z UDZIAŁEM ŚRODKÓW, O KTÓRYCH MOWA W ART. 5 UST. 1 pkt 2</t>
  </si>
  <si>
    <t>A17=A18+A20+A22+A24+A26+A28+A30+A32+AUkr</t>
  </si>
  <si>
    <t>A1=A-A16-A38</t>
  </si>
  <si>
    <t>tytuł</t>
  </si>
  <si>
    <t>niewykorzystane środki pieniężne, o których mowa w art. 217 ust. 2 pkt. 8 ustawy o finansach publicznych</t>
  </si>
  <si>
    <t>D17</t>
  </si>
  <si>
    <t>D18</t>
  </si>
  <si>
    <t>D181</t>
  </si>
  <si>
    <t>Symbol=D17</t>
  </si>
  <si>
    <t>Symbol=D18</t>
  </si>
  <si>
    <t>Symbol=D181</t>
  </si>
  <si>
    <t>D17W/D1W</t>
  </si>
  <si>
    <t>D18W/D1W</t>
  </si>
  <si>
    <t>D181W/D1W</t>
  </si>
  <si>
    <t>D181W/D181P</t>
  </si>
  <si>
    <t>D17W/D17P</t>
  </si>
  <si>
    <t>D18W/D18P</t>
  </si>
  <si>
    <t>wolne środki, o których mowa w art. 217 ust. 2 pkt. 6 ustawy o finansach publicznych</t>
  </si>
  <si>
    <t>stan niespłaconych na koniec okresu sprawozdawczego zobowiązań przeznaczonych na cel , o którym mowa w art.. 89 ust. 1 pkt. 1 ustawy o finansach publicznych</t>
  </si>
  <si>
    <t>inne źródła, w tym:</t>
  </si>
  <si>
    <t>środki z lokat dokonanych w latach ubiegłych</t>
  </si>
  <si>
    <t>nadwyżka z lat ubiegłych, pomniejszona o niewykorzystane środki pieniężne, o których mowa w art. 217 ust. 2 pkt. 8 ustawy o finansach publicznych</t>
  </si>
  <si>
    <t>D231</t>
  </si>
  <si>
    <t>lokaty na okres wykraczający poza rok budżetowy</t>
  </si>
  <si>
    <t>Symbol=D231</t>
  </si>
  <si>
    <t>D231W/D2W</t>
  </si>
  <si>
    <t>D231W/D231P</t>
  </si>
  <si>
    <t>E8</t>
  </si>
  <si>
    <t>Symbol=E8</t>
  </si>
  <si>
    <t>nadwyżka budżetu jednostki samorządu terytorialnego z lat ubiegłych, pomniejszona o środki określone w art. 217 ust. 2 pkt. 8 ustawy o finansach publicznych</t>
  </si>
  <si>
    <t>wolne środki jako nadwyżka środków pieniężnych na rachunku  bieżącym budżetu jednostki samorządu terytorialnego, wynikających  z rozliczeń wyemitowanych papierów wartościowych, kredytów i pożyczek z lat ubiegłych</t>
  </si>
  <si>
    <t>niewykorzystane środki pieniężne na rachunku bieżącym budżetu, wynikające z rozliczenia dochodów i wydatków nimi finansowanych
związanych ze szczególnymi zasadami wykonywania budżetu określonymi w odrębnych ustawach oraz wynikających z rozliczenia
środków określonych w art. 5 ust. 1 pkt. 2 ustawy o finansach publicznych i dotacji na realizację programu, projektu lub zadania finansowanego z udziałem tych środków</t>
  </si>
  <si>
    <t>FINANSOWANIE DEFICYTU (E1+E2+E3+E4+E5+E6+E7+E8)  
z tego:</t>
  </si>
  <si>
    <t>inne cele, w tym:</t>
  </si>
  <si>
    <t>niewykorzystane środki pieniężne o których mowa w art. 217 ust. 2 pkt 8 ustawy o finansach publicznych</t>
  </si>
  <si>
    <t>stan niespłaconych na koniec okresu sprawozdawczego zobowiązań przeznaczonych na cel , o którym mowa w art.. 89 ust. 1 pkt 1 ustawy o finansach publicznych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</si>
</sst>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#,##0.0"/>
    <numFmt numFmtId="169" formatCode="dd/mm/yy\ h:mm;@"/>
  </numFmts>
  <fonts count="23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.5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6"/>
      <name val="Arial"/>
      <family val="2"/>
      <charset val="238"/>
    </font>
    <font>
      <b/>
      <sz val="8"/>
      <color indexed="8"/>
      <name val="Arial"/>
      <family val="2"/>
      <charset val="238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2"/>
      <name val="Arial"/>
      <family val="2"/>
      <charset val="238"/>
    </font>
    <font>
      <b/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/>
    <xf numFmtId="0" fontId="20" fillId="0" borderId="0"/>
  </cellStyleXfs>
  <cellXfs count="224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6" fillId="0" borderId="0" xfId="0" applyFont="1" applyFill="1" applyAlignment="1">
      <alignment horizontal="left" vertical="center"/>
    </xf>
    <xf numFmtId="164" fontId="2" fillId="0" borderId="0" xfId="0" applyNumberFormat="1" applyFont="1" applyFill="1"/>
    <xf numFmtId="0" fontId="8" fillId="0" borderId="0" xfId="0" applyFont="1" applyFill="1" applyAlignment="1">
      <alignment vertical="center"/>
    </xf>
    <xf numFmtId="0" fontId="2" fillId="0" borderId="0" xfId="0" applyFont="1" applyFill="1"/>
    <xf numFmtId="0" fontId="5" fillId="0" borderId="0" xfId="0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3" fontId="7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 indent="1"/>
    </xf>
    <xf numFmtId="0" fontId="4" fillId="3" borderId="1" xfId="0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horizontal="left" vertical="center" wrapText="1" indent="1"/>
    </xf>
    <xf numFmtId="0" fontId="6" fillId="0" borderId="2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64" fontId="6" fillId="0" borderId="0" xfId="0" applyNumberFormat="1" applyFont="1"/>
    <xf numFmtId="164" fontId="6" fillId="0" borderId="0" xfId="0" applyNumberFormat="1" applyFont="1" applyFill="1"/>
    <xf numFmtId="4" fontId="4" fillId="0" borderId="1" xfId="0" applyNumberFormat="1" applyFont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4" fontId="13" fillId="3" borderId="1" xfId="0" applyNumberFormat="1" applyFont="1" applyFill="1" applyBorder="1" applyAlignment="1">
      <alignment horizontal="right" vertical="center"/>
    </xf>
    <xf numFmtId="4" fontId="11" fillId="0" borderId="1" xfId="0" applyNumberFormat="1" applyFont="1" applyBorder="1" applyAlignment="1">
      <alignment horizontal="right" vertical="center"/>
    </xf>
    <xf numFmtId="4" fontId="11" fillId="3" borderId="1" xfId="0" applyNumberFormat="1" applyFont="1" applyFill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4" fontId="13" fillId="3" borderId="1" xfId="0" applyNumberFormat="1" applyFont="1" applyFill="1" applyBorder="1" applyAlignment="1">
      <alignment horizontal="right" vertical="center" wrapText="1"/>
    </xf>
    <xf numFmtId="4" fontId="6" fillId="3" borderId="1" xfId="0" applyNumberFormat="1" applyFont="1" applyFill="1" applyBorder="1" applyAlignment="1">
      <alignment horizontal="right" vertical="center"/>
    </xf>
    <xf numFmtId="4" fontId="6" fillId="0" borderId="0" xfId="0" applyNumberFormat="1" applyFont="1" applyBorder="1" applyAlignment="1">
      <alignment horizontal="right" vertical="center"/>
    </xf>
    <xf numFmtId="4" fontId="11" fillId="3" borderId="1" xfId="1" applyNumberFormat="1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164" fontId="6" fillId="0" borderId="0" xfId="0" applyNumberFormat="1" applyFont="1" applyAlignment="1">
      <alignment horizontal="right" vertical="center"/>
    </xf>
    <xf numFmtId="164" fontId="6" fillId="0" borderId="0" xfId="0" applyNumberFormat="1" applyFont="1" applyFill="1" applyAlignment="1">
      <alignment horizontal="right" vertical="center"/>
    </xf>
    <xf numFmtId="4" fontId="7" fillId="0" borderId="1" xfId="0" applyNumberFormat="1" applyFont="1" applyFill="1" applyBorder="1" applyAlignment="1">
      <alignment horizontal="right" vertical="center"/>
    </xf>
    <xf numFmtId="4" fontId="7" fillId="3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 vertical="center" wrapText="1" indent="2"/>
    </xf>
    <xf numFmtId="0" fontId="2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" fontId="11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/>
    <xf numFmtId="169" fontId="2" fillId="0" borderId="1" xfId="0" applyNumberFormat="1" applyFont="1" applyBorder="1"/>
    <xf numFmtId="164" fontId="13" fillId="3" borderId="1" xfId="0" applyNumberFormat="1" applyFont="1" applyFill="1" applyBorder="1" applyAlignment="1">
      <alignment horizontal="right" vertical="center"/>
    </xf>
    <xf numFmtId="164" fontId="4" fillId="0" borderId="1" xfId="0" applyNumberFormat="1" applyFont="1" applyFill="1" applyBorder="1" applyAlignment="1">
      <alignment horizontal="right" vertical="center"/>
    </xf>
    <xf numFmtId="164" fontId="11" fillId="3" borderId="1" xfId="0" applyNumberFormat="1" applyFont="1" applyFill="1" applyBorder="1" applyAlignment="1">
      <alignment horizontal="right" vertical="center"/>
    </xf>
    <xf numFmtId="164" fontId="11" fillId="3" borderId="1" xfId="1" applyNumberFormat="1" applyFont="1" applyFill="1" applyBorder="1" applyAlignment="1">
      <alignment horizontal="right" vertical="center"/>
    </xf>
    <xf numFmtId="4" fontId="6" fillId="4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4" fillId="5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left" vertical="center" wrapText="1"/>
    </xf>
    <xf numFmtId="4" fontId="4" fillId="0" borderId="2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/>
    </xf>
    <xf numFmtId="4" fontId="11" fillId="3" borderId="3" xfId="0" applyNumberFormat="1" applyFont="1" applyFill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4" fontId="13" fillId="5" borderId="1" xfId="0" applyNumberFormat="1" applyFont="1" applyFill="1" applyBorder="1" applyAlignment="1">
      <alignment horizontal="right" vertical="center"/>
    </xf>
    <xf numFmtId="164" fontId="13" fillId="5" borderId="1" xfId="0" applyNumberFormat="1" applyFont="1" applyFill="1" applyBorder="1" applyAlignment="1">
      <alignment horizontal="right" vertical="center"/>
    </xf>
    <xf numFmtId="0" fontId="21" fillId="0" borderId="0" xfId="3" applyFont="1" applyAlignment="1">
      <alignment horizontal="center" vertical="center"/>
    </xf>
    <xf numFmtId="4" fontId="6" fillId="3" borderId="3" xfId="0" applyNumberFormat="1" applyFont="1" applyFill="1" applyBorder="1" applyAlignment="1">
      <alignment horizontal="right" vertical="center"/>
    </xf>
    <xf numFmtId="4" fontId="6" fillId="6" borderId="3" xfId="0" applyNumberFormat="1" applyFont="1" applyFill="1" applyBorder="1" applyAlignment="1">
      <alignment horizontal="right" vertical="center"/>
    </xf>
    <xf numFmtId="4" fontId="11" fillId="5" borderId="3" xfId="0" applyNumberFormat="1" applyFont="1" applyFill="1" applyBorder="1" applyAlignment="1">
      <alignment horizontal="right" vertical="center"/>
    </xf>
    <xf numFmtId="164" fontId="11" fillId="6" borderId="1" xfId="1" applyNumberFormat="1" applyFont="1" applyFill="1" applyBorder="1" applyAlignment="1">
      <alignment horizontal="right" vertical="center"/>
    </xf>
    <xf numFmtId="164" fontId="11" fillId="6" borderId="1" xfId="0" applyNumberFormat="1" applyFont="1" applyFill="1" applyBorder="1" applyAlignment="1">
      <alignment horizontal="right" vertical="center"/>
    </xf>
    <xf numFmtId="164" fontId="11" fillId="5" borderId="1" xfId="0" applyNumberFormat="1" applyFont="1" applyFill="1" applyBorder="1" applyAlignment="1">
      <alignment horizontal="right" vertical="center"/>
    </xf>
    <xf numFmtId="4" fontId="6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 wrapText="1" indent="2"/>
    </xf>
    <xf numFmtId="164" fontId="4" fillId="5" borderId="1" xfId="0" applyNumberFormat="1" applyFont="1" applyFill="1" applyBorder="1" applyAlignment="1">
      <alignment horizontal="right" vertical="center"/>
    </xf>
    <xf numFmtId="164" fontId="5" fillId="5" borderId="1" xfId="0" applyNumberFormat="1" applyFont="1" applyFill="1" applyBorder="1" applyAlignment="1">
      <alignment horizontal="center" vertical="center"/>
    </xf>
    <xf numFmtId="4" fontId="11" fillId="5" borderId="1" xfId="0" applyNumberFormat="1" applyFont="1" applyFill="1" applyBorder="1" applyAlignment="1">
      <alignment horizontal="right" vertical="center"/>
    </xf>
    <xf numFmtId="164" fontId="11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center" wrapText="1"/>
    </xf>
    <xf numFmtId="4" fontId="13" fillId="0" borderId="0" xfId="0" applyNumberFormat="1" applyFont="1" applyFill="1" applyBorder="1" applyAlignment="1">
      <alignment horizontal="right" vertical="center" wrapText="1"/>
    </xf>
    <xf numFmtId="164" fontId="6" fillId="5" borderId="1" xfId="0" applyNumberFormat="1" applyFont="1" applyFill="1" applyBorder="1" applyAlignment="1">
      <alignment horizontal="right" vertical="center"/>
    </xf>
    <xf numFmtId="4" fontId="6" fillId="0" borderId="3" xfId="0" applyNumberFormat="1" applyFont="1" applyFill="1" applyBorder="1" applyAlignment="1">
      <alignment horizontal="right" vertical="center"/>
    </xf>
    <xf numFmtId="164" fontId="11" fillId="0" borderId="1" xfId="1" applyNumberFormat="1" applyFont="1" applyFill="1" applyBorder="1" applyAlignment="1">
      <alignment horizontal="right" vertical="center"/>
    </xf>
    <xf numFmtId="0" fontId="22" fillId="0" borderId="0" xfId="0" applyFont="1" applyAlignment="1">
      <alignment vertical="center"/>
    </xf>
    <xf numFmtId="0" fontId="6" fillId="0" borderId="1" xfId="0" applyFont="1" applyBorder="1"/>
    <xf numFmtId="0" fontId="4" fillId="5" borderId="1" xfId="0" applyFont="1" applyFill="1" applyBorder="1" applyAlignment="1">
      <alignment horizontal="left" vertical="center" wrapText="1" indent="1"/>
    </xf>
    <xf numFmtId="0" fontId="6" fillId="6" borderId="2" xfId="0" applyFont="1" applyFill="1" applyBorder="1" applyAlignment="1">
      <alignment vertical="center"/>
    </xf>
    <xf numFmtId="0" fontId="6" fillId="6" borderId="0" xfId="0" applyFont="1" applyFill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4" fontId="7" fillId="3" borderId="1" xfId="0" applyNumberFormat="1" applyFont="1" applyFill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4" fontId="4" fillId="5" borderId="1" xfId="0" applyNumberFormat="1" applyFont="1" applyFill="1" applyBorder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4" fontId="11" fillId="5" borderId="1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4" fontId="11" fillId="5" borderId="1" xfId="0" applyNumberFormat="1" applyFont="1" applyFill="1" applyBorder="1" applyAlignment="1">
      <alignment vertical="center"/>
    </xf>
    <xf numFmtId="4" fontId="13" fillId="3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/>
    </xf>
    <xf numFmtId="4" fontId="4" fillId="0" borderId="3" xfId="0" applyNumberFormat="1" applyFont="1" applyFill="1" applyBorder="1" applyAlignment="1">
      <alignment vertical="center" wrapText="1"/>
    </xf>
    <xf numFmtId="4" fontId="6" fillId="6" borderId="1" xfId="0" applyNumberFormat="1" applyFont="1" applyFill="1" applyBorder="1" applyAlignment="1">
      <alignment horizontal="right" vertical="center"/>
    </xf>
    <xf numFmtId="4" fontId="4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 applyAlignment="1">
      <alignment horizontal="right" vertical="center"/>
    </xf>
    <xf numFmtId="164" fontId="5" fillId="5" borderId="3" xfId="0" applyNumberFormat="1" applyFont="1" applyFill="1" applyBorder="1" applyAlignment="1">
      <alignment horizontal="center" vertical="center"/>
    </xf>
    <xf numFmtId="164" fontId="5" fillId="0" borderId="3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4" fontId="13" fillId="0" borderId="2" xfId="0" applyNumberFormat="1" applyFont="1" applyFill="1" applyBorder="1" applyAlignment="1">
      <alignment horizontal="right" vertical="center" wrapText="1"/>
    </xf>
    <xf numFmtId="4" fontId="13" fillId="0" borderId="0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 indent="3"/>
    </xf>
    <xf numFmtId="0" fontId="7" fillId="5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 indent="1"/>
    </xf>
    <xf numFmtId="0" fontId="7" fillId="0" borderId="1" xfId="0" applyFont="1" applyFill="1" applyBorder="1" applyAlignment="1">
      <alignment horizontal="right" vertical="center" wrapText="1" inden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/>
    </xf>
    <xf numFmtId="0" fontId="10" fillId="3" borderId="1" xfId="0" applyFont="1" applyFill="1" applyBorder="1" applyAlignment="1">
      <alignment horizontal="left" vertical="top" wrapText="1"/>
    </xf>
    <xf numFmtId="0" fontId="18" fillId="0" borderId="0" xfId="0" applyFont="1" applyAlignment="1">
      <alignment vertical="center"/>
    </xf>
    <xf numFmtId="0" fontId="2" fillId="0" borderId="4" xfId="0" applyFont="1" applyBorder="1"/>
    <xf numFmtId="0" fontId="7" fillId="5" borderId="1" xfId="0" applyFont="1" applyFill="1" applyBorder="1" applyAlignment="1">
      <alignment horizontal="left" vertical="center" wrapText="1" indent="2"/>
    </xf>
    <xf numFmtId="0" fontId="4" fillId="0" borderId="1" xfId="0" applyFont="1" applyFill="1" applyBorder="1" applyAlignment="1">
      <alignment horizontal="left" vertical="center" wrapText="1" indent="4"/>
    </xf>
    <xf numFmtId="0" fontId="4" fillId="0" borderId="1" xfId="0" applyFont="1" applyBorder="1" applyAlignment="1">
      <alignment horizontal="left" vertical="center" wrapText="1" indent="4"/>
    </xf>
    <xf numFmtId="0" fontId="4" fillId="6" borderId="1" xfId="0" applyFont="1" applyFill="1" applyBorder="1" applyAlignment="1">
      <alignment horizontal="left" vertical="center" wrapText="1" indent="3"/>
    </xf>
    <xf numFmtId="0" fontId="21" fillId="0" borderId="1" xfId="4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wrapText="1" indent="1"/>
    </xf>
    <xf numFmtId="0" fontId="6" fillId="0" borderId="1" xfId="0" applyFont="1" applyFill="1" applyBorder="1" applyAlignment="1">
      <alignment horizontal="left" vertical="center" wrapText="1" indent="2"/>
    </xf>
    <xf numFmtId="0" fontId="6" fillId="0" borderId="1" xfId="0" applyFont="1" applyFill="1" applyBorder="1" applyAlignment="1">
      <alignment horizontal="left" vertical="center" wrapText="1" indent="1"/>
    </xf>
    <xf numFmtId="0" fontId="21" fillId="5" borderId="1" xfId="3" applyFont="1" applyFill="1" applyBorder="1" applyAlignment="1">
      <alignment horizontal="left" vertical="center" wrapText="1"/>
    </xf>
    <xf numFmtId="0" fontId="21" fillId="0" borderId="1" xfId="3" applyFont="1" applyBorder="1" applyAlignment="1">
      <alignment horizontal="left" vertical="center" wrapText="1" indent="1"/>
    </xf>
    <xf numFmtId="0" fontId="2" fillId="0" borderId="0" xfId="3" applyFont="1" applyFill="1" applyAlignment="1">
      <alignment horizontal="center" vertical="center"/>
    </xf>
    <xf numFmtId="0" fontId="19" fillId="0" borderId="1" xfId="0" applyFont="1" applyBorder="1"/>
    <xf numFmtId="0" fontId="7" fillId="0" borderId="5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169" fontId="2" fillId="0" borderId="3" xfId="0" applyNumberFormat="1" applyFont="1" applyBorder="1" applyAlignment="1">
      <alignment horizontal="center"/>
    </xf>
    <xf numFmtId="169" fontId="2" fillId="0" borderId="7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4" fontId="8" fillId="3" borderId="3" xfId="0" applyNumberFormat="1" applyFont="1" applyFill="1" applyBorder="1" applyAlignment="1">
      <alignment horizontal="center" vertical="center"/>
    </xf>
    <xf numFmtId="4" fontId="8" fillId="3" borderId="10" xfId="0" applyNumberFormat="1" applyFont="1" applyFill="1" applyBorder="1" applyAlignment="1">
      <alignment horizontal="center" vertical="center"/>
    </xf>
    <xf numFmtId="4" fontId="8" fillId="3" borderId="7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 indent="1"/>
    </xf>
    <xf numFmtId="0" fontId="6" fillId="0" borderId="7" xfId="0" applyFont="1" applyBorder="1" applyAlignment="1">
      <alignment horizontal="left" vertical="center" wrapText="1" indent="1"/>
    </xf>
    <xf numFmtId="4" fontId="8" fillId="0" borderId="3" xfId="0" applyNumberFormat="1" applyFont="1" applyBorder="1" applyAlignment="1">
      <alignment horizontal="center" vertical="center"/>
    </xf>
    <xf numFmtId="4" fontId="8" fillId="0" borderId="10" xfId="0" applyNumberFormat="1" applyFont="1" applyBorder="1" applyAlignment="1">
      <alignment horizontal="center" vertical="center"/>
    </xf>
    <xf numFmtId="4" fontId="8" fillId="0" borderId="7" xfId="0" applyNumberFormat="1" applyFont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 wrapText="1"/>
    </xf>
    <xf numFmtId="4" fontId="8" fillId="4" borderId="3" xfId="0" applyNumberFormat="1" applyFont="1" applyFill="1" applyBorder="1" applyAlignment="1">
      <alignment horizontal="center" vertical="center"/>
    </xf>
    <xf numFmtId="4" fontId="8" fillId="4" borderId="10" xfId="0" applyNumberFormat="1" applyFont="1" applyFill="1" applyBorder="1" applyAlignment="1">
      <alignment horizontal="center" vertical="center"/>
    </xf>
    <xf numFmtId="4" fontId="8" fillId="4" borderId="7" xfId="0" applyNumberFormat="1" applyFont="1" applyFill="1" applyBorder="1" applyAlignment="1">
      <alignment horizontal="center" vertical="center"/>
    </xf>
    <xf numFmtId="4" fontId="4" fillId="0" borderId="3" xfId="0" applyNumberFormat="1" applyFont="1" applyBorder="1" applyAlignment="1">
      <alignment horizontal="left" vertical="center"/>
    </xf>
    <xf numFmtId="4" fontId="4" fillId="0" borderId="10" xfId="0" applyNumberFormat="1" applyFont="1" applyBorder="1" applyAlignment="1">
      <alignment horizontal="left" vertical="center"/>
    </xf>
    <xf numFmtId="4" fontId="4" fillId="0" borderId="7" xfId="0" applyNumberFormat="1" applyFont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4" fontId="4" fillId="3" borderId="1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left" vertical="center"/>
    </xf>
    <xf numFmtId="4" fontId="4" fillId="0" borderId="3" xfId="0" applyNumberFormat="1" applyFont="1" applyBorder="1" applyAlignment="1">
      <alignment horizontal="left" vertical="top" wrapText="1"/>
    </xf>
    <xf numFmtId="4" fontId="4" fillId="0" borderId="10" xfId="0" applyNumberFormat="1" applyFont="1" applyBorder="1" applyAlignment="1">
      <alignment horizontal="left" vertical="top" wrapText="1"/>
    </xf>
    <xf numFmtId="4" fontId="4" fillId="0" borderId="7" xfId="0" applyNumberFormat="1" applyFont="1" applyBorder="1" applyAlignment="1">
      <alignment horizontal="left" vertical="top" wrapText="1"/>
    </xf>
    <xf numFmtId="4" fontId="4" fillId="5" borderId="1" xfId="0" applyNumberFormat="1" applyFont="1" applyFill="1" applyBorder="1" applyAlignment="1">
      <alignment horizontal="left" vertical="center"/>
    </xf>
    <xf numFmtId="4" fontId="7" fillId="0" borderId="1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4" fontId="7" fillId="3" borderId="1" xfId="0" applyNumberFormat="1" applyFont="1" applyFill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left" vertical="center" wrapText="1"/>
    </xf>
    <xf numFmtId="4" fontId="10" fillId="0" borderId="1" xfId="0" applyNumberFormat="1" applyFont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4" fontId="5" fillId="0" borderId="3" xfId="0" applyNumberFormat="1" applyFont="1" applyBorder="1" applyAlignment="1">
      <alignment horizontal="left" vertical="top" wrapText="1"/>
    </xf>
    <xf numFmtId="4" fontId="5" fillId="0" borderId="10" xfId="0" applyNumberFormat="1" applyFont="1" applyBorder="1" applyAlignment="1">
      <alignment horizontal="left" vertical="top" wrapText="1"/>
    </xf>
    <xf numFmtId="4" fontId="5" fillId="0" borderId="7" xfId="0" applyNumberFormat="1" applyFont="1" applyBorder="1" applyAlignment="1">
      <alignment horizontal="left" vertical="top" wrapText="1"/>
    </xf>
    <xf numFmtId="0" fontId="6" fillId="5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left" vertical="center" wrapText="1" indent="1"/>
    </xf>
    <xf numFmtId="0" fontId="6" fillId="5" borderId="1" xfId="0" applyFont="1" applyFill="1" applyBorder="1" applyAlignment="1">
      <alignment horizontal="left" vertical="center" wrapText="1"/>
    </xf>
    <xf numFmtId="4" fontId="10" fillId="3" borderId="3" xfId="0" applyNumberFormat="1" applyFont="1" applyFill="1" applyBorder="1" applyAlignment="1">
      <alignment horizontal="center" vertical="center"/>
    </xf>
    <xf numFmtId="4" fontId="10" fillId="3" borderId="10" xfId="0" applyNumberFormat="1" applyFont="1" applyFill="1" applyBorder="1" applyAlignment="1">
      <alignment horizontal="center" vertical="center"/>
    </xf>
    <xf numFmtId="4" fontId="10" fillId="3" borderId="7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 wrapText="1"/>
    </xf>
  </cellXfs>
  <cellStyles count="5">
    <cellStyle name="Dziesiętny" xfId="1" builtinId="3"/>
    <cellStyle name="Dziesiętny 3" xfId="2"/>
    <cellStyle name="Normalny" xfId="0" builtinId="0"/>
    <cellStyle name="Normalny 2" xfId="3"/>
    <cellStyle name="Normalny 2 2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outlinePr summaryBelow="0"/>
  </sheetPr>
  <dimension ref="A1:Z120"/>
  <sheetViews>
    <sheetView tabSelected="1" topLeftCell="B1" zoomScaleNormal="100" workbookViewId="0"/>
  </sheetViews>
  <sheetFormatPr defaultRowHeight="12.75" outlineLevelRow="1" outlineLevelCol="1" x14ac:dyDescent="0.2"/>
  <cols>
    <col min="1" max="1" width="3.7109375" style="1" hidden="1" customWidth="1"/>
    <col min="2" max="2" width="30.7109375" style="1" customWidth="1"/>
    <col min="3" max="4" width="14.5703125" style="1" customWidth="1"/>
    <col min="5" max="5" width="14.5703125" style="1" customWidth="1" outlineLevel="1"/>
    <col min="6" max="6" width="13.85546875" style="1" customWidth="1" outlineLevel="1"/>
    <col min="7" max="7" width="13" style="1" customWidth="1" outlineLevel="1"/>
    <col min="8" max="8" width="11.85546875" style="1" customWidth="1" outlineLevel="1"/>
    <col min="9" max="9" width="13" style="1" customWidth="1" outlineLevel="1"/>
    <col min="10" max="10" width="12.7109375" style="1" customWidth="1"/>
    <col min="11" max="11" width="7.42578125" style="1" customWidth="1"/>
    <col min="12" max="13" width="8.140625" style="1" customWidth="1"/>
    <col min="14" max="16384" width="9.140625" style="1"/>
  </cols>
  <sheetData>
    <row r="1" spans="2:13" ht="15" x14ac:dyDescent="0.2">
      <c r="B1" s="128" t="str">
        <f>CONCATENATE("Informacja z wykonania budżetów gmin za ",$D$117," ",$C$118," rok     ",$C$120,"")</f>
        <v xml:space="preserve">Informacja z wykonania budżetów gmin za II Kwartały 2023 rok     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</row>
    <row r="2" spans="2:13" ht="0.75" customHeight="1" x14ac:dyDescent="0.2"/>
    <row r="3" spans="2:13" ht="69" customHeight="1" x14ac:dyDescent="0.2">
      <c r="B3" s="164" t="s">
        <v>0</v>
      </c>
      <c r="C3" s="18" t="s">
        <v>185</v>
      </c>
      <c r="D3" s="18" t="s">
        <v>186</v>
      </c>
      <c r="E3" s="18" t="s">
        <v>187</v>
      </c>
      <c r="F3" s="18" t="s">
        <v>188</v>
      </c>
      <c r="G3" s="18" t="s">
        <v>189</v>
      </c>
      <c r="H3" s="18" t="s">
        <v>190</v>
      </c>
      <c r="I3" s="18" t="s">
        <v>191</v>
      </c>
      <c r="J3" s="20" t="s">
        <v>2</v>
      </c>
      <c r="K3" s="18" t="s">
        <v>67</v>
      </c>
      <c r="L3" s="18" t="s">
        <v>3</v>
      </c>
    </row>
    <row r="4" spans="2:13" x14ac:dyDescent="0.2">
      <c r="B4" s="164"/>
      <c r="C4" s="161" t="s">
        <v>302</v>
      </c>
      <c r="D4" s="162"/>
      <c r="E4" s="162"/>
      <c r="F4" s="162"/>
      <c r="G4" s="162"/>
      <c r="H4" s="162"/>
      <c r="I4" s="163"/>
      <c r="J4" s="166" t="s">
        <v>4</v>
      </c>
      <c r="K4" s="166"/>
      <c r="L4" s="166"/>
    </row>
    <row r="5" spans="2:13" x14ac:dyDescent="0.2">
      <c r="B5" s="20">
        <v>1</v>
      </c>
      <c r="C5" s="22">
        <v>2</v>
      </c>
      <c r="D5" s="22">
        <v>3</v>
      </c>
      <c r="E5" s="22">
        <v>4</v>
      </c>
      <c r="F5" s="22">
        <v>5</v>
      </c>
      <c r="G5" s="22">
        <v>6</v>
      </c>
      <c r="H5" s="22">
        <v>7</v>
      </c>
      <c r="I5" s="22">
        <v>8</v>
      </c>
      <c r="J5" s="22">
        <v>9</v>
      </c>
      <c r="K5" s="22">
        <v>10</v>
      </c>
      <c r="L5" s="22">
        <v>11</v>
      </c>
    </row>
    <row r="6" spans="2:13" x14ac:dyDescent="0.2">
      <c r="B6" s="121" t="s">
        <v>5</v>
      </c>
      <c r="C6" s="73">
        <f>169467371569.22</f>
        <v>169467371569.22</v>
      </c>
      <c r="D6" s="73">
        <f>79365007333.69</f>
        <v>79365007333.690002</v>
      </c>
      <c r="E6" s="73">
        <f>1997700713.71</f>
        <v>1997700713.71</v>
      </c>
      <c r="F6" s="73">
        <f>367812380.15</f>
        <v>367812380.14999998</v>
      </c>
      <c r="G6" s="73">
        <f>50077405.07</f>
        <v>50077405.07</v>
      </c>
      <c r="H6" s="73">
        <f>139528527.34</f>
        <v>139528527.34</v>
      </c>
      <c r="I6" s="73">
        <f>2105309.15</f>
        <v>2105309.15</v>
      </c>
      <c r="J6" s="74">
        <f t="shared" ref="J6:J55" si="0">IF($D$6=0,"",100*$D6/$D$6)</f>
        <v>100</v>
      </c>
      <c r="K6" s="74">
        <f t="shared" ref="K6:K51" si="1">IF(C6=0,"",100*D6/C6)</f>
        <v>46.832028253458141</v>
      </c>
      <c r="L6" s="74"/>
    </row>
    <row r="7" spans="2:13" ht="25.5" customHeight="1" x14ac:dyDescent="0.2">
      <c r="B7" s="122" t="s">
        <v>224</v>
      </c>
      <c r="C7" s="35">
        <f>C6-C22-C46</f>
        <v>78880572924.399994</v>
      </c>
      <c r="D7" s="35">
        <f>D6-D22-D46</f>
        <v>39845494939.440002</v>
      </c>
      <c r="E7" s="35">
        <f>E6</f>
        <v>1997700713.71</v>
      </c>
      <c r="F7" s="35">
        <f>F6</f>
        <v>367812380.14999998</v>
      </c>
      <c r="G7" s="35">
        <f>G6</f>
        <v>50077405.07</v>
      </c>
      <c r="H7" s="35">
        <f>H6</f>
        <v>139528527.34</v>
      </c>
      <c r="I7" s="35">
        <f>I6</f>
        <v>2105309.15</v>
      </c>
      <c r="J7" s="56">
        <f t="shared" si="0"/>
        <v>50.205369189861855</v>
      </c>
      <c r="K7" s="56">
        <f t="shared" si="1"/>
        <v>50.513698699460967</v>
      </c>
      <c r="L7" s="56">
        <f t="shared" ref="L7:L21" si="2">IF($D$7=0,"",100*$D7/$D$7)</f>
        <v>100</v>
      </c>
    </row>
    <row r="8" spans="2:13" ht="22.5" customHeight="1" outlineLevel="1" x14ac:dyDescent="0.2">
      <c r="B8" s="83" t="s">
        <v>180</v>
      </c>
      <c r="C8" s="34">
        <f>2277288476</f>
        <v>2277288476</v>
      </c>
      <c r="D8" s="34">
        <f>1138614531</f>
        <v>1138614531</v>
      </c>
      <c r="E8" s="34">
        <f>0</f>
        <v>0</v>
      </c>
      <c r="F8" s="34">
        <f>0</f>
        <v>0</v>
      </c>
      <c r="G8" s="34">
        <f>0</f>
        <v>0</v>
      </c>
      <c r="H8" s="34">
        <f>0</f>
        <v>0</v>
      </c>
      <c r="I8" s="34">
        <f>0</f>
        <v>0</v>
      </c>
      <c r="J8" s="57">
        <f t="shared" si="0"/>
        <v>1.4346556111469853</v>
      </c>
      <c r="K8" s="57">
        <f t="shared" si="1"/>
        <v>49.998695510019346</v>
      </c>
      <c r="L8" s="57">
        <f t="shared" si="2"/>
        <v>2.8575740688641131</v>
      </c>
    </row>
    <row r="9" spans="2:13" ht="22.5" customHeight="1" outlineLevel="1" x14ac:dyDescent="0.2">
      <c r="B9" s="83" t="s">
        <v>70</v>
      </c>
      <c r="C9" s="34">
        <f>21699731420.19</f>
        <v>21699731420.189999</v>
      </c>
      <c r="D9" s="34">
        <f>10827774594</f>
        <v>10827774594</v>
      </c>
      <c r="E9" s="34">
        <f>0</f>
        <v>0</v>
      </c>
      <c r="F9" s="34">
        <f>0</f>
        <v>0</v>
      </c>
      <c r="G9" s="34">
        <f>0</f>
        <v>0</v>
      </c>
      <c r="H9" s="34">
        <f>0</f>
        <v>0</v>
      </c>
      <c r="I9" s="34">
        <f>0</f>
        <v>0</v>
      </c>
      <c r="J9" s="57">
        <f t="shared" si="0"/>
        <v>13.643008370773085</v>
      </c>
      <c r="K9" s="57">
        <f t="shared" si="1"/>
        <v>49.898196361663516</v>
      </c>
      <c r="L9" s="57">
        <f t="shared" si="2"/>
        <v>27.174401046986155</v>
      </c>
    </row>
    <row r="10" spans="2:13" ht="13.5" customHeight="1" outlineLevel="1" x14ac:dyDescent="0.2">
      <c r="B10" s="83" t="s">
        <v>71</v>
      </c>
      <c r="C10" s="34">
        <f>1983439629.41</f>
        <v>1983439629.4100001</v>
      </c>
      <c r="D10" s="34">
        <f>1181909450.52</f>
        <v>1181909450.52</v>
      </c>
      <c r="E10" s="34">
        <f>127084866.42</f>
        <v>127084866.42</v>
      </c>
      <c r="F10" s="34">
        <f>1146795.76</f>
        <v>1146795.76</v>
      </c>
      <c r="G10" s="34">
        <f>1066705.99</f>
        <v>1066705.99</v>
      </c>
      <c r="H10" s="34">
        <f>40947518.22</f>
        <v>40947518.219999999</v>
      </c>
      <c r="I10" s="34">
        <f>0</f>
        <v>0</v>
      </c>
      <c r="J10" s="57">
        <f t="shared" si="0"/>
        <v>1.4892072592530159</v>
      </c>
      <c r="K10" s="57">
        <f t="shared" si="1"/>
        <v>59.588879489696104</v>
      </c>
      <c r="L10" s="57">
        <f t="shared" si="2"/>
        <v>2.9662310690740559</v>
      </c>
    </row>
    <row r="11" spans="2:13" ht="13.5" customHeight="1" outlineLevel="1" x14ac:dyDescent="0.2">
      <c r="B11" s="83" t="s">
        <v>72</v>
      </c>
      <c r="C11" s="34">
        <f>19484224164.23</f>
        <v>19484224164.23</v>
      </c>
      <c r="D11" s="82">
        <f>10384524805.15</f>
        <v>10384524805.15</v>
      </c>
      <c r="E11" s="34">
        <f>1280786330.5</f>
        <v>1280786330.5</v>
      </c>
      <c r="F11" s="34">
        <f>364465455.63</f>
        <v>364465455.63</v>
      </c>
      <c r="G11" s="34">
        <f>36386106.66</f>
        <v>36386106.659999996</v>
      </c>
      <c r="H11" s="34">
        <f>80680600.05</f>
        <v>80680600.049999997</v>
      </c>
      <c r="I11" s="34">
        <f>1563685.39</f>
        <v>1563685.39</v>
      </c>
      <c r="J11" s="57">
        <f t="shared" si="0"/>
        <v>13.084513129934315</v>
      </c>
      <c r="K11" s="57">
        <f t="shared" si="1"/>
        <v>53.297091624589136</v>
      </c>
      <c r="L11" s="57">
        <f t="shared" si="2"/>
        <v>26.061979706697418</v>
      </c>
    </row>
    <row r="12" spans="2:13" ht="13.5" customHeight="1" outlineLevel="1" x14ac:dyDescent="0.2">
      <c r="B12" s="83" t="s">
        <v>73</v>
      </c>
      <c r="C12" s="34">
        <f>455298871.41</f>
        <v>455298871.41000003</v>
      </c>
      <c r="D12" s="82">
        <f>272178024.99</f>
        <v>272178024.99000001</v>
      </c>
      <c r="E12" s="34">
        <f>2881318.77</f>
        <v>2881318.77</v>
      </c>
      <c r="F12" s="34">
        <f>479589.23</f>
        <v>479589.23</v>
      </c>
      <c r="G12" s="34">
        <f>46296.91</f>
        <v>46296.91</v>
      </c>
      <c r="H12" s="34">
        <f>132290.6</f>
        <v>132290.6</v>
      </c>
      <c r="I12" s="34">
        <f>0</f>
        <v>0</v>
      </c>
      <c r="J12" s="57">
        <f t="shared" si="0"/>
        <v>0.3429446227423984</v>
      </c>
      <c r="K12" s="57">
        <f t="shared" si="1"/>
        <v>59.78007899450769</v>
      </c>
      <c r="L12" s="57">
        <f t="shared" si="2"/>
        <v>0.68308355914181862</v>
      </c>
    </row>
    <row r="13" spans="2:13" ht="13.5" customHeight="1" outlineLevel="1" x14ac:dyDescent="0.2">
      <c r="B13" s="83" t="s">
        <v>74</v>
      </c>
      <c r="C13" s="34">
        <f>1049607226.82</f>
        <v>1049607226.8200001</v>
      </c>
      <c r="D13" s="82">
        <f>547558115.3</f>
        <v>547558115.29999995</v>
      </c>
      <c r="E13" s="34">
        <f>572167970.64</f>
        <v>572167970.63999999</v>
      </c>
      <c r="F13" s="34">
        <f>1349905.73</f>
        <v>1349905.73</v>
      </c>
      <c r="G13" s="34">
        <f>1451157.63</f>
        <v>1451157.63</v>
      </c>
      <c r="H13" s="34">
        <f>4193469</f>
        <v>4193469</v>
      </c>
      <c r="I13" s="34">
        <f>23304.24</f>
        <v>23304.240000000002</v>
      </c>
      <c r="J13" s="57">
        <f t="shared" si="0"/>
        <v>0.68992385144978696</v>
      </c>
      <c r="K13" s="57">
        <f t="shared" si="1"/>
        <v>52.167906366168928</v>
      </c>
      <c r="L13" s="57">
        <f t="shared" si="2"/>
        <v>1.374203322438879</v>
      </c>
    </row>
    <row r="14" spans="2:13" ht="33.950000000000003" customHeight="1" outlineLevel="1" x14ac:dyDescent="0.2">
      <c r="B14" s="83" t="s">
        <v>193</v>
      </c>
      <c r="C14" s="34">
        <f>87825929.66</f>
        <v>87825929.659999996</v>
      </c>
      <c r="D14" s="82">
        <f>38504641.49</f>
        <v>38504641.490000002</v>
      </c>
      <c r="E14" s="34">
        <f>0</f>
        <v>0</v>
      </c>
      <c r="F14" s="34">
        <f>0</f>
        <v>0</v>
      </c>
      <c r="G14" s="34">
        <f>8093.29</f>
        <v>8093.29</v>
      </c>
      <c r="H14" s="34">
        <f>68267.51</f>
        <v>68267.509999999995</v>
      </c>
      <c r="I14" s="34">
        <f>0</f>
        <v>0</v>
      </c>
      <c r="J14" s="57">
        <f t="shared" si="0"/>
        <v>4.8515892310205831E-2</v>
      </c>
      <c r="K14" s="57">
        <f t="shared" si="1"/>
        <v>43.841997049234536</v>
      </c>
      <c r="L14" s="57">
        <f t="shared" si="2"/>
        <v>9.6634868128811238E-2</v>
      </c>
    </row>
    <row r="15" spans="2:13" ht="13.5" customHeight="1" outlineLevel="1" x14ac:dyDescent="0.2">
      <c r="B15" s="83" t="s">
        <v>151</v>
      </c>
      <c r="C15" s="34">
        <f>200081464.74</f>
        <v>200081464.74000001</v>
      </c>
      <c r="D15" s="82">
        <f>127694454.85</f>
        <v>127694454.84999999</v>
      </c>
      <c r="E15" s="34">
        <f>0</f>
        <v>0</v>
      </c>
      <c r="F15" s="34">
        <f>0</f>
        <v>0</v>
      </c>
      <c r="G15" s="34">
        <f>2334525.83</f>
        <v>2334525.83</v>
      </c>
      <c r="H15" s="34">
        <f>5038129.33</f>
        <v>5038129.33</v>
      </c>
      <c r="I15" s="34">
        <f>0</f>
        <v>0</v>
      </c>
      <c r="J15" s="57">
        <f t="shared" si="0"/>
        <v>0.16089515913872338</v>
      </c>
      <c r="K15" s="57">
        <f t="shared" si="1"/>
        <v>63.82123152483674</v>
      </c>
      <c r="L15" s="57">
        <f t="shared" si="2"/>
        <v>0.32047400852738572</v>
      </c>
    </row>
    <row r="16" spans="2:13" ht="22.5" customHeight="1" outlineLevel="1" x14ac:dyDescent="0.2">
      <c r="B16" s="83" t="s">
        <v>152</v>
      </c>
      <c r="C16" s="34">
        <f>1805756691.62</f>
        <v>1805756691.6199999</v>
      </c>
      <c r="D16" s="82">
        <f>828868597.21</f>
        <v>828868597.21000004</v>
      </c>
      <c r="E16" s="34">
        <f>0</f>
        <v>0</v>
      </c>
      <c r="F16" s="34">
        <f>0</f>
        <v>0</v>
      </c>
      <c r="G16" s="34">
        <f>43531</f>
        <v>43531</v>
      </c>
      <c r="H16" s="34">
        <f>171666.82</f>
        <v>171666.82</v>
      </c>
      <c r="I16" s="34">
        <f>0</f>
        <v>0</v>
      </c>
      <c r="J16" s="57">
        <f t="shared" si="0"/>
        <v>1.0443753803550018</v>
      </c>
      <c r="K16" s="57">
        <f t="shared" si="1"/>
        <v>45.901455110566225</v>
      </c>
      <c r="L16" s="57">
        <f t="shared" si="2"/>
        <v>2.0802065540151351</v>
      </c>
    </row>
    <row r="17" spans="2:12" ht="13.5" customHeight="1" outlineLevel="1" x14ac:dyDescent="0.2">
      <c r="B17" s="83" t="s">
        <v>153</v>
      </c>
      <c r="C17" s="34">
        <f>201170960.53</f>
        <v>201170960.53</v>
      </c>
      <c r="D17" s="82">
        <f>97433778.62</f>
        <v>97433778.620000005</v>
      </c>
      <c r="E17" s="34">
        <f>0</f>
        <v>0</v>
      </c>
      <c r="F17" s="34">
        <f>0</f>
        <v>0</v>
      </c>
      <c r="G17" s="34">
        <f>1212</f>
        <v>1212</v>
      </c>
      <c r="H17" s="34">
        <f>0</f>
        <v>0</v>
      </c>
      <c r="I17" s="34">
        <f>0</f>
        <v>0</v>
      </c>
      <c r="J17" s="57">
        <f t="shared" si="0"/>
        <v>0.12276667248368023</v>
      </c>
      <c r="K17" s="57">
        <f t="shared" si="1"/>
        <v>48.433321769356468</v>
      </c>
      <c r="L17" s="57">
        <f t="shared" si="2"/>
        <v>0.24452897063541748</v>
      </c>
    </row>
    <row r="18" spans="2:12" ht="13.5" customHeight="1" outlineLevel="1" x14ac:dyDescent="0.2">
      <c r="B18" s="83" t="s">
        <v>154</v>
      </c>
      <c r="C18" s="34">
        <f>437908195.19</f>
        <v>437908195.19</v>
      </c>
      <c r="D18" s="82">
        <f>206231311.29</f>
        <v>206231311.28999999</v>
      </c>
      <c r="E18" s="34">
        <f>0</f>
        <v>0</v>
      </c>
      <c r="F18" s="34">
        <f>0</f>
        <v>0</v>
      </c>
      <c r="G18" s="34">
        <f>0</f>
        <v>0</v>
      </c>
      <c r="H18" s="34">
        <f>391228.3</f>
        <v>391228.3</v>
      </c>
      <c r="I18" s="34">
        <f>0</f>
        <v>0</v>
      </c>
      <c r="J18" s="57">
        <f t="shared" si="0"/>
        <v>0.25985168806562431</v>
      </c>
      <c r="K18" s="57">
        <f t="shared" si="1"/>
        <v>47.094645305854613</v>
      </c>
      <c r="L18" s="57">
        <f t="shared" si="2"/>
        <v>0.51757748674836368</v>
      </c>
    </row>
    <row r="19" spans="2:12" ht="13.5" customHeight="1" outlineLevel="1" x14ac:dyDescent="0.2">
      <c r="B19" s="83" t="s">
        <v>155</v>
      </c>
      <c r="C19" s="34">
        <f>111882165.12</f>
        <v>111882165.12</v>
      </c>
      <c r="D19" s="82">
        <f>46393844.66</f>
        <v>46393844.659999996</v>
      </c>
      <c r="E19" s="34">
        <f>522393.02</f>
        <v>522393.02</v>
      </c>
      <c r="F19" s="34">
        <f>0</f>
        <v>0</v>
      </c>
      <c r="G19" s="34">
        <f>3334</f>
        <v>3334</v>
      </c>
      <c r="H19" s="34">
        <f>90447.59</f>
        <v>90447.59</v>
      </c>
      <c r="I19" s="34">
        <f>0</f>
        <v>0</v>
      </c>
      <c r="J19" s="57">
        <f t="shared" si="0"/>
        <v>5.8456297326272749E-2</v>
      </c>
      <c r="K19" s="57">
        <f t="shared" si="1"/>
        <v>41.466702588602885</v>
      </c>
      <c r="L19" s="57">
        <f t="shared" si="2"/>
        <v>0.11643435407318353</v>
      </c>
    </row>
    <row r="20" spans="2:12" ht="13.5" customHeight="1" outlineLevel="1" x14ac:dyDescent="0.2">
      <c r="B20" s="83" t="s">
        <v>75</v>
      </c>
      <c r="C20" s="34">
        <f>5484430631.4</f>
        <v>5484430631.3999996</v>
      </c>
      <c r="D20" s="82">
        <f>1803432000.2</f>
        <v>1803432000.2</v>
      </c>
      <c r="E20" s="34">
        <f>0</f>
        <v>0</v>
      </c>
      <c r="F20" s="34">
        <f>0</f>
        <v>0</v>
      </c>
      <c r="G20" s="34">
        <f>8097.53</f>
        <v>8097.53</v>
      </c>
      <c r="H20" s="34">
        <f>0</f>
        <v>0</v>
      </c>
      <c r="I20" s="34">
        <f>6350</f>
        <v>6350</v>
      </c>
      <c r="J20" s="57">
        <f t="shared" si="0"/>
        <v>2.2723263826052129</v>
      </c>
      <c r="K20" s="57">
        <f t="shared" si="1"/>
        <v>32.882757051840798</v>
      </c>
      <c r="L20" s="57">
        <f t="shared" si="2"/>
        <v>4.5260624894758701</v>
      </c>
    </row>
    <row r="21" spans="2:12" ht="13.5" customHeight="1" outlineLevel="1" x14ac:dyDescent="0.2">
      <c r="B21" s="83" t="s">
        <v>76</v>
      </c>
      <c r="C21" s="34">
        <f>C7-C8-C9-C10-C11-C12-C13-C14-C15-C16-C17-C18-C19-C20</f>
        <v>23601927098.079994</v>
      </c>
      <c r="D21" s="34">
        <f t="shared" ref="D21:I21" si="3">D7-D8-D9-D10-D11-D12-D13-D14-D15-D16-D17-D18-D19-D20</f>
        <v>12344376790.160002</v>
      </c>
      <c r="E21" s="34">
        <f t="shared" si="3"/>
        <v>14257834.359999996</v>
      </c>
      <c r="F21" s="34">
        <f t="shared" si="3"/>
        <v>370633.7999999905</v>
      </c>
      <c r="G21" s="34">
        <f t="shared" si="3"/>
        <v>8728344.2300000042</v>
      </c>
      <c r="H21" s="34">
        <f t="shared" si="3"/>
        <v>7814909.9200000064</v>
      </c>
      <c r="I21" s="34">
        <f t="shared" si="3"/>
        <v>511969.52</v>
      </c>
      <c r="J21" s="57">
        <f t="shared" si="0"/>
        <v>15.553928872277547</v>
      </c>
      <c r="K21" s="57">
        <f t="shared" si="1"/>
        <v>52.302410472084766</v>
      </c>
      <c r="L21" s="57">
        <f t="shared" si="2"/>
        <v>30.98060849519339</v>
      </c>
    </row>
    <row r="22" spans="2:12" ht="27" customHeight="1" x14ac:dyDescent="0.2">
      <c r="B22" s="122" t="s">
        <v>378</v>
      </c>
      <c r="C22" s="73">
        <f>C23+C42+C44</f>
        <v>52080602934.5</v>
      </c>
      <c r="D22" s="73">
        <f>D23+D42+D44</f>
        <v>17038921971.250004</v>
      </c>
      <c r="E22" s="66" t="s">
        <v>223</v>
      </c>
      <c r="F22" s="66" t="s">
        <v>223</v>
      </c>
      <c r="G22" s="66" t="s">
        <v>223</v>
      </c>
      <c r="H22" s="66" t="s">
        <v>223</v>
      </c>
      <c r="I22" s="66" t="s">
        <v>223</v>
      </c>
      <c r="J22" s="74">
        <f t="shared" si="0"/>
        <v>21.46906116899844</v>
      </c>
      <c r="K22" s="74">
        <f t="shared" si="1"/>
        <v>32.716445300526331</v>
      </c>
      <c r="L22" s="45"/>
    </row>
    <row r="23" spans="2:12" ht="27" customHeight="1" outlineLevel="1" x14ac:dyDescent="0.2">
      <c r="B23" s="130" t="s">
        <v>225</v>
      </c>
      <c r="C23" s="73">
        <f>C24+C26+C28+C30+C32+C34+C36+C38+C40</f>
        <v>45078378742.129997</v>
      </c>
      <c r="D23" s="73">
        <f>D24+D26+D28+D30+D32+D34+D36+D38+D40</f>
        <v>15076380030.380003</v>
      </c>
      <c r="E23" s="66" t="s">
        <v>223</v>
      </c>
      <c r="F23" s="66" t="s">
        <v>223</v>
      </c>
      <c r="G23" s="66" t="s">
        <v>223</v>
      </c>
      <c r="H23" s="66" t="s">
        <v>223</v>
      </c>
      <c r="I23" s="66" t="s">
        <v>223</v>
      </c>
      <c r="J23" s="74">
        <f t="shared" si="0"/>
        <v>18.996256079195451</v>
      </c>
      <c r="K23" s="74">
        <f t="shared" si="1"/>
        <v>33.444814234833387</v>
      </c>
      <c r="L23" s="45"/>
    </row>
    <row r="24" spans="2:12" ht="22.5" customHeight="1" outlineLevel="1" x14ac:dyDescent="0.2">
      <c r="B24" s="120" t="s">
        <v>9</v>
      </c>
      <c r="C24" s="34">
        <f>12694291072.69</f>
        <v>12694291072.690001</v>
      </c>
      <c r="D24" s="34">
        <f>7432452516.14</f>
        <v>7432452516.1400003</v>
      </c>
      <c r="E24" s="34" t="s">
        <v>223</v>
      </c>
      <c r="F24" s="34" t="s">
        <v>223</v>
      </c>
      <c r="G24" s="34" t="s">
        <v>223</v>
      </c>
      <c r="H24" s="34" t="s">
        <v>223</v>
      </c>
      <c r="I24" s="34" t="s">
        <v>223</v>
      </c>
      <c r="J24" s="57">
        <f t="shared" si="0"/>
        <v>9.3648986698763466</v>
      </c>
      <c r="K24" s="57">
        <f t="shared" si="1"/>
        <v>58.54956746761453</v>
      </c>
      <c r="L24" s="45"/>
    </row>
    <row r="25" spans="2:12" ht="13.5" customHeight="1" outlineLevel="1" x14ac:dyDescent="0.2">
      <c r="B25" s="131" t="s">
        <v>6</v>
      </c>
      <c r="C25" s="34">
        <f>13877018.13</f>
        <v>13877018.130000001</v>
      </c>
      <c r="D25" s="34">
        <f>5987000</f>
        <v>5987000</v>
      </c>
      <c r="E25" s="34" t="s">
        <v>223</v>
      </c>
      <c r="F25" s="34" t="s">
        <v>223</v>
      </c>
      <c r="G25" s="34" t="s">
        <v>223</v>
      </c>
      <c r="H25" s="34" t="s">
        <v>223</v>
      </c>
      <c r="I25" s="34" t="s">
        <v>223</v>
      </c>
      <c r="J25" s="57">
        <f t="shared" si="0"/>
        <v>7.5436268465618244E-3</v>
      </c>
      <c r="K25" s="57">
        <f t="shared" si="1"/>
        <v>43.143274325317897</v>
      </c>
      <c r="L25" s="45"/>
    </row>
    <row r="26" spans="2:12" ht="13.5" customHeight="1" outlineLevel="1" x14ac:dyDescent="0.2">
      <c r="B26" s="120" t="s">
        <v>7</v>
      </c>
      <c r="C26" s="34">
        <f>3694723991.6</f>
        <v>3694723991.5999999</v>
      </c>
      <c r="D26" s="34">
        <f>1755315790.46</f>
        <v>1755315790.46</v>
      </c>
      <c r="E26" s="34" t="s">
        <v>223</v>
      </c>
      <c r="F26" s="34" t="s">
        <v>223</v>
      </c>
      <c r="G26" s="34" t="s">
        <v>223</v>
      </c>
      <c r="H26" s="34" t="s">
        <v>223</v>
      </c>
      <c r="I26" s="34" t="s">
        <v>223</v>
      </c>
      <c r="J26" s="57">
        <f t="shared" si="0"/>
        <v>2.2116999033084928</v>
      </c>
      <c r="K26" s="57">
        <f t="shared" si="1"/>
        <v>47.508712273250502</v>
      </c>
      <c r="L26" s="45"/>
    </row>
    <row r="27" spans="2:12" ht="13.5" customHeight="1" outlineLevel="1" x14ac:dyDescent="0.2">
      <c r="B27" s="131" t="s">
        <v>6</v>
      </c>
      <c r="C27" s="34">
        <f>440415013.82</f>
        <v>440415013.81999999</v>
      </c>
      <c r="D27" s="34">
        <f>100761139.05</f>
        <v>100761139.05</v>
      </c>
      <c r="E27" s="34" t="s">
        <v>223</v>
      </c>
      <c r="F27" s="34" t="s">
        <v>223</v>
      </c>
      <c r="G27" s="34" t="s">
        <v>223</v>
      </c>
      <c r="H27" s="34" t="s">
        <v>223</v>
      </c>
      <c r="I27" s="34" t="s">
        <v>223</v>
      </c>
      <c r="J27" s="57">
        <f t="shared" si="0"/>
        <v>0.12695915043055436</v>
      </c>
      <c r="K27" s="57">
        <f t="shared" si="1"/>
        <v>22.878679401965535</v>
      </c>
      <c r="L27" s="45"/>
    </row>
    <row r="28" spans="2:12" ht="35.1" customHeight="1" outlineLevel="1" x14ac:dyDescent="0.2">
      <c r="B28" s="120" t="s">
        <v>10</v>
      </c>
      <c r="C28" s="34">
        <f>79653627.61</f>
        <v>79653627.609999999</v>
      </c>
      <c r="D28" s="34">
        <f>46907392.16</f>
        <v>46907392.159999996</v>
      </c>
      <c r="E28" s="34" t="s">
        <v>223</v>
      </c>
      <c r="F28" s="34" t="s">
        <v>223</v>
      </c>
      <c r="G28" s="34" t="s">
        <v>223</v>
      </c>
      <c r="H28" s="34" t="s">
        <v>223</v>
      </c>
      <c r="I28" s="34" t="s">
        <v>223</v>
      </c>
      <c r="J28" s="57">
        <f t="shared" si="0"/>
        <v>5.9103367763550969E-2</v>
      </c>
      <c r="K28" s="57">
        <f t="shared" si="1"/>
        <v>58.889210155836118</v>
      </c>
      <c r="L28" s="45"/>
    </row>
    <row r="29" spans="2:12" ht="13.5" customHeight="1" outlineLevel="1" x14ac:dyDescent="0.2">
      <c r="B29" s="131" t="s">
        <v>6</v>
      </c>
      <c r="C29" s="34">
        <f>26890790.17</f>
        <v>26890790.170000002</v>
      </c>
      <c r="D29" s="34">
        <f>5355164.21</f>
        <v>5355164.21</v>
      </c>
      <c r="E29" s="34" t="s">
        <v>223</v>
      </c>
      <c r="F29" s="34" t="s">
        <v>223</v>
      </c>
      <c r="G29" s="34" t="s">
        <v>223</v>
      </c>
      <c r="H29" s="34" t="s">
        <v>223</v>
      </c>
      <c r="I29" s="34" t="s">
        <v>223</v>
      </c>
      <c r="J29" s="57">
        <f t="shared" si="0"/>
        <v>6.7475130286125014E-3</v>
      </c>
      <c r="K29" s="57">
        <f t="shared" si="1"/>
        <v>19.914491824693002</v>
      </c>
      <c r="L29" s="45"/>
    </row>
    <row r="30" spans="2:12" ht="24" customHeight="1" outlineLevel="1" x14ac:dyDescent="0.2">
      <c r="B30" s="120" t="s">
        <v>11</v>
      </c>
      <c r="C30" s="34">
        <f>747436296.68</f>
        <v>747436296.67999995</v>
      </c>
      <c r="D30" s="34">
        <f>259365988.04</f>
        <v>259365988.03999999</v>
      </c>
      <c r="E30" s="34" t="s">
        <v>223</v>
      </c>
      <c r="F30" s="34" t="s">
        <v>223</v>
      </c>
      <c r="G30" s="34" t="s">
        <v>223</v>
      </c>
      <c r="H30" s="34" t="s">
        <v>223</v>
      </c>
      <c r="I30" s="34" t="s">
        <v>223</v>
      </c>
      <c r="J30" s="57">
        <f t="shared" si="0"/>
        <v>0.32680144153391966</v>
      </c>
      <c r="K30" s="57">
        <f t="shared" si="1"/>
        <v>34.700748303509592</v>
      </c>
      <c r="L30" s="45"/>
    </row>
    <row r="31" spans="2:12" ht="13.5" customHeight="1" outlineLevel="1" x14ac:dyDescent="0.2">
      <c r="B31" s="131" t="s">
        <v>6</v>
      </c>
      <c r="C31" s="34">
        <f>306536784.62</f>
        <v>306536784.62</v>
      </c>
      <c r="D31" s="34">
        <f>44326228.27</f>
        <v>44326228.270000003</v>
      </c>
      <c r="E31" s="34" t="s">
        <v>223</v>
      </c>
      <c r="F31" s="34" t="s">
        <v>223</v>
      </c>
      <c r="G31" s="34" t="s">
        <v>223</v>
      </c>
      <c r="H31" s="34" t="s">
        <v>223</v>
      </c>
      <c r="I31" s="34" t="s">
        <v>223</v>
      </c>
      <c r="J31" s="57">
        <f t="shared" si="0"/>
        <v>5.5851098310405828E-2</v>
      </c>
      <c r="K31" s="57">
        <f t="shared" si="1"/>
        <v>14.460329230943442</v>
      </c>
      <c r="L31" s="45"/>
    </row>
    <row r="32" spans="2:12" ht="35.1" customHeight="1" outlineLevel="1" x14ac:dyDescent="0.2">
      <c r="B32" s="120" t="s">
        <v>308</v>
      </c>
      <c r="C32" s="34">
        <f>863750833.7</f>
        <v>863750833.70000005</v>
      </c>
      <c r="D32" s="34">
        <f>232482009.28</f>
        <v>232482009.28</v>
      </c>
      <c r="E32" s="34" t="s">
        <v>223</v>
      </c>
      <c r="F32" s="34" t="s">
        <v>223</v>
      </c>
      <c r="G32" s="34" t="s">
        <v>223</v>
      </c>
      <c r="H32" s="34" t="s">
        <v>223</v>
      </c>
      <c r="I32" s="34" t="s">
        <v>223</v>
      </c>
      <c r="J32" s="57">
        <f t="shared" si="0"/>
        <v>0.29292759755257114</v>
      </c>
      <c r="K32" s="57">
        <f t="shared" si="1"/>
        <v>26.915402012884911</v>
      </c>
      <c r="L32" s="45"/>
    </row>
    <row r="33" spans="2:12" ht="13.5" customHeight="1" outlineLevel="1" x14ac:dyDescent="0.2">
      <c r="B33" s="131" t="s">
        <v>6</v>
      </c>
      <c r="C33" s="34">
        <f>777908389.43</f>
        <v>777908389.42999995</v>
      </c>
      <c r="D33" s="34">
        <f>198024882.7</f>
        <v>198024882.69999999</v>
      </c>
      <c r="E33" s="34" t="s">
        <v>223</v>
      </c>
      <c r="F33" s="34" t="s">
        <v>223</v>
      </c>
      <c r="G33" s="34" t="s">
        <v>223</v>
      </c>
      <c r="H33" s="34" t="s">
        <v>223</v>
      </c>
      <c r="I33" s="34" t="s">
        <v>223</v>
      </c>
      <c r="J33" s="57">
        <f t="shared" si="0"/>
        <v>0.24951157865758747</v>
      </c>
      <c r="K33" s="57">
        <f t="shared" si="1"/>
        <v>25.456067242712166</v>
      </c>
      <c r="L33" s="45"/>
    </row>
    <row r="34" spans="2:12" ht="13.5" customHeight="1" outlineLevel="1" x14ac:dyDescent="0.2">
      <c r="B34" s="120" t="s">
        <v>8</v>
      </c>
      <c r="C34" s="34">
        <f>461136280.6</f>
        <v>461136280.60000002</v>
      </c>
      <c r="D34" s="34">
        <f>108383527.11</f>
        <v>108383527.11</v>
      </c>
      <c r="E34" s="34" t="s">
        <v>223</v>
      </c>
      <c r="F34" s="34" t="s">
        <v>223</v>
      </c>
      <c r="G34" s="34" t="s">
        <v>223</v>
      </c>
      <c r="H34" s="34" t="s">
        <v>223</v>
      </c>
      <c r="I34" s="34" t="s">
        <v>223</v>
      </c>
      <c r="J34" s="57">
        <f t="shared" si="0"/>
        <v>0.13656336810289918</v>
      </c>
      <c r="K34" s="57">
        <f t="shared" si="1"/>
        <v>23.503578371447706</v>
      </c>
      <c r="L34" s="45"/>
    </row>
    <row r="35" spans="2:12" ht="13.5" customHeight="1" outlineLevel="1" x14ac:dyDescent="0.2">
      <c r="B35" s="132" t="s">
        <v>6</v>
      </c>
      <c r="C35" s="32">
        <f>408276094.22</f>
        <v>408276094.22000003</v>
      </c>
      <c r="D35" s="32">
        <f>85613178.66</f>
        <v>85613178.659999996</v>
      </c>
      <c r="E35" s="34" t="s">
        <v>223</v>
      </c>
      <c r="F35" s="34" t="s">
        <v>223</v>
      </c>
      <c r="G35" s="34" t="s">
        <v>223</v>
      </c>
      <c r="H35" s="34" t="s">
        <v>223</v>
      </c>
      <c r="I35" s="34" t="s">
        <v>223</v>
      </c>
      <c r="J35" s="57">
        <f t="shared" si="0"/>
        <v>0.10787270301638048</v>
      </c>
      <c r="K35" s="57">
        <f t="shared" si="1"/>
        <v>20.969432173970795</v>
      </c>
      <c r="L35" s="45"/>
    </row>
    <row r="36" spans="2:12" ht="71.099999999999994" customHeight="1" outlineLevel="1" x14ac:dyDescent="0.2">
      <c r="B36" s="120" t="s">
        <v>360</v>
      </c>
      <c r="C36" s="32">
        <f>17464340.35</f>
        <v>17464340.350000001</v>
      </c>
      <c r="D36" s="32">
        <f>1029168</f>
        <v>1029168</v>
      </c>
      <c r="E36" s="34" t="s">
        <v>223</v>
      </c>
      <c r="F36" s="34" t="s">
        <v>223</v>
      </c>
      <c r="G36" s="34" t="s">
        <v>223</v>
      </c>
      <c r="H36" s="34" t="s">
        <v>223</v>
      </c>
      <c r="I36" s="34" t="s">
        <v>223</v>
      </c>
      <c r="J36" s="57">
        <f t="shared" si="0"/>
        <v>1.2967528569270653E-3</v>
      </c>
      <c r="K36" s="57">
        <f>IF(C36=0,"",100*D36/C36)</f>
        <v>5.8929680673567493</v>
      </c>
      <c r="L36" s="45"/>
    </row>
    <row r="37" spans="2:12" ht="13.5" customHeight="1" outlineLevel="1" x14ac:dyDescent="0.2">
      <c r="B37" s="132" t="s">
        <v>361</v>
      </c>
      <c r="C37" s="32">
        <f>15432468.84</f>
        <v>15432468.84</v>
      </c>
      <c r="D37" s="32">
        <f>180000</f>
        <v>180000</v>
      </c>
      <c r="E37" s="34" t="s">
        <v>223</v>
      </c>
      <c r="F37" s="34" t="s">
        <v>223</v>
      </c>
      <c r="G37" s="34" t="s">
        <v>223</v>
      </c>
      <c r="H37" s="34" t="s">
        <v>223</v>
      </c>
      <c r="I37" s="34" t="s">
        <v>223</v>
      </c>
      <c r="J37" s="57">
        <f t="shared" si="0"/>
        <v>2.2680020584284758E-4</v>
      </c>
      <c r="K37" s="57">
        <f>IF(C37=0,"",100*D37/C37)</f>
        <v>1.1663720294283129</v>
      </c>
      <c r="L37" s="45"/>
    </row>
    <row r="38" spans="2:12" ht="48" customHeight="1" outlineLevel="1" x14ac:dyDescent="0.2">
      <c r="B38" s="133" t="s">
        <v>358</v>
      </c>
      <c r="C38" s="32">
        <f>25341915782.14</f>
        <v>25341915782.139999</v>
      </c>
      <c r="D38" s="32">
        <f>4149843359.93</f>
        <v>4149843359.9299998</v>
      </c>
      <c r="E38" s="34" t="s">
        <v>223</v>
      </c>
      <c r="F38" s="34" t="s">
        <v>223</v>
      </c>
      <c r="G38" s="34" t="s">
        <v>223</v>
      </c>
      <c r="H38" s="34" t="s">
        <v>223</v>
      </c>
      <c r="I38" s="34" t="s">
        <v>223</v>
      </c>
      <c r="J38" s="57">
        <f t="shared" si="0"/>
        <v>5.2288073791538787</v>
      </c>
      <c r="K38" s="57">
        <f t="shared" si="1"/>
        <v>16.375412954590626</v>
      </c>
      <c r="L38" s="45"/>
    </row>
    <row r="39" spans="2:12" ht="13.5" customHeight="1" outlineLevel="1" x14ac:dyDescent="0.2">
      <c r="B39" s="132" t="s">
        <v>6</v>
      </c>
      <c r="C39" s="32">
        <f>24625397617.55</f>
        <v>24625397617.549999</v>
      </c>
      <c r="D39" s="32">
        <f>3680658792.99</f>
        <v>3680658792.9899998</v>
      </c>
      <c r="E39" s="34" t="s">
        <v>223</v>
      </c>
      <c r="F39" s="34" t="s">
        <v>223</v>
      </c>
      <c r="G39" s="34" t="s">
        <v>223</v>
      </c>
      <c r="H39" s="34" t="s">
        <v>223</v>
      </c>
      <c r="I39" s="34" t="s">
        <v>223</v>
      </c>
      <c r="J39" s="57">
        <f t="shared" si="0"/>
        <v>4.6376342882634383</v>
      </c>
      <c r="K39" s="57">
        <f t="shared" si="1"/>
        <v>14.946596396749641</v>
      </c>
      <c r="L39" s="45"/>
    </row>
    <row r="40" spans="2:12" ht="22.5" outlineLevel="1" x14ac:dyDescent="0.2">
      <c r="B40" s="133" t="s">
        <v>384</v>
      </c>
      <c r="C40" s="32">
        <f>1178006516.76</f>
        <v>1178006516.76</v>
      </c>
      <c r="D40" s="32">
        <f>1090600279.26</f>
        <v>1090600279.26</v>
      </c>
      <c r="E40" s="34" t="s">
        <v>223</v>
      </c>
      <c r="F40" s="34" t="s">
        <v>223</v>
      </c>
      <c r="G40" s="34" t="s">
        <v>223</v>
      </c>
      <c r="H40" s="34" t="s">
        <v>223</v>
      </c>
      <c r="I40" s="34" t="s">
        <v>223</v>
      </c>
      <c r="J40" s="57">
        <f t="shared" si="0"/>
        <v>1.3741575990468613</v>
      </c>
      <c r="K40" s="57">
        <f t="shared" si="1"/>
        <v>92.580156709115414</v>
      </c>
      <c r="L40" s="45"/>
    </row>
    <row r="41" spans="2:12" ht="13.5" customHeight="1" outlineLevel="1" x14ac:dyDescent="0.2">
      <c r="B41" s="132" t="s">
        <v>6</v>
      </c>
      <c r="C41" s="32">
        <f>4626567.34</f>
        <v>4626567.34</v>
      </c>
      <c r="D41" s="32">
        <f>180439.84</f>
        <v>180439.84</v>
      </c>
      <c r="E41" s="34" t="s">
        <v>223</v>
      </c>
      <c r="F41" s="34" t="s">
        <v>223</v>
      </c>
      <c r="G41" s="34" t="s">
        <v>223</v>
      </c>
      <c r="H41" s="34" t="s">
        <v>223</v>
      </c>
      <c r="I41" s="34" t="s">
        <v>223</v>
      </c>
      <c r="J41" s="57">
        <f t="shared" si="0"/>
        <v>2.27354404745836E-4</v>
      </c>
      <c r="K41" s="57">
        <f t="shared" si="1"/>
        <v>3.9000802698788775</v>
      </c>
      <c r="L41" s="45"/>
    </row>
    <row r="42" spans="2:12" outlineLevel="1" x14ac:dyDescent="0.2">
      <c r="B42" s="130" t="s">
        <v>344</v>
      </c>
      <c r="C42" s="73">
        <f>1011987185.04</f>
        <v>1011987185.04</v>
      </c>
      <c r="D42" s="73">
        <f>286377519.41</f>
        <v>286377519.41000003</v>
      </c>
      <c r="E42" s="66" t="s">
        <v>223</v>
      </c>
      <c r="F42" s="66" t="s">
        <v>223</v>
      </c>
      <c r="G42" s="66" t="s">
        <v>223</v>
      </c>
      <c r="H42" s="66" t="s">
        <v>223</v>
      </c>
      <c r="I42" s="66" t="s">
        <v>223</v>
      </c>
      <c r="J42" s="74">
        <f t="shared" si="0"/>
        <v>0.36083600194973381</v>
      </c>
      <c r="K42" s="74">
        <f t="shared" si="1"/>
        <v>28.298532199168179</v>
      </c>
      <c r="L42" s="45"/>
    </row>
    <row r="43" spans="2:12" ht="13.5" customHeight="1" outlineLevel="1" x14ac:dyDescent="0.2">
      <c r="B43" s="132" t="s">
        <v>345</v>
      </c>
      <c r="C43" s="32">
        <f>841590221.35</f>
        <v>841590221.35000002</v>
      </c>
      <c r="D43" s="32">
        <f>216391046.94</f>
        <v>216391046.94</v>
      </c>
      <c r="E43" s="34" t="s">
        <v>223</v>
      </c>
      <c r="F43" s="34" t="s">
        <v>223</v>
      </c>
      <c r="G43" s="34" t="s">
        <v>223</v>
      </c>
      <c r="H43" s="34" t="s">
        <v>223</v>
      </c>
      <c r="I43" s="34" t="s">
        <v>223</v>
      </c>
      <c r="J43" s="57">
        <f t="shared" si="0"/>
        <v>0.2726529666030072</v>
      </c>
      <c r="K43" s="57">
        <f t="shared" si="1"/>
        <v>25.712162695151779</v>
      </c>
      <c r="L43" s="45"/>
    </row>
    <row r="44" spans="2:12" ht="13.5" customHeight="1" outlineLevel="1" x14ac:dyDescent="0.2">
      <c r="B44" s="130" t="s">
        <v>346</v>
      </c>
      <c r="C44" s="66">
        <f>5990237007.33</f>
        <v>5990237007.3299999</v>
      </c>
      <c r="D44" s="66">
        <f>1676164421.46</f>
        <v>1676164421.46</v>
      </c>
      <c r="E44" s="66" t="s">
        <v>223</v>
      </c>
      <c r="F44" s="66" t="s">
        <v>223</v>
      </c>
      <c r="G44" s="66" t="s">
        <v>223</v>
      </c>
      <c r="H44" s="66" t="s">
        <v>223</v>
      </c>
      <c r="I44" s="66" t="s">
        <v>223</v>
      </c>
      <c r="J44" s="84">
        <f t="shared" si="0"/>
        <v>2.1119690878532529</v>
      </c>
      <c r="K44" s="84">
        <f t="shared" si="1"/>
        <v>27.981604390760307</v>
      </c>
      <c r="L44" s="45"/>
    </row>
    <row r="45" spans="2:12" ht="13.5" customHeight="1" outlineLevel="1" x14ac:dyDescent="0.2">
      <c r="B45" s="132" t="s">
        <v>347</v>
      </c>
      <c r="C45" s="32">
        <f>5468729301.74</f>
        <v>5468729301.7399998</v>
      </c>
      <c r="D45" s="32">
        <f>1382632103.63</f>
        <v>1382632103.6300001</v>
      </c>
      <c r="E45" s="34" t="s">
        <v>223</v>
      </c>
      <c r="F45" s="34" t="s">
        <v>223</v>
      </c>
      <c r="G45" s="34" t="s">
        <v>223</v>
      </c>
      <c r="H45" s="34" t="s">
        <v>223</v>
      </c>
      <c r="I45" s="34" t="s">
        <v>223</v>
      </c>
      <c r="J45" s="57">
        <f t="shared" si="0"/>
        <v>1.7421180317122964</v>
      </c>
      <c r="K45" s="57">
        <f t="shared" si="1"/>
        <v>25.282511299107167</v>
      </c>
      <c r="L45" s="45"/>
    </row>
    <row r="46" spans="2:12" s="6" customFormat="1" ht="25.5" customHeight="1" x14ac:dyDescent="0.2">
      <c r="B46" s="122" t="s">
        <v>226</v>
      </c>
      <c r="C46" s="35">
        <f>C47+C48+C49+C50+C51</f>
        <v>38506195710.32</v>
      </c>
      <c r="D46" s="35">
        <f>D47+D48+D49+D50+D51</f>
        <v>22480590423</v>
      </c>
      <c r="E46" s="33" t="s">
        <v>223</v>
      </c>
      <c r="F46" s="33" t="s">
        <v>223</v>
      </c>
      <c r="G46" s="33" t="s">
        <v>223</v>
      </c>
      <c r="H46" s="33" t="s">
        <v>223</v>
      </c>
      <c r="I46" s="33" t="s">
        <v>223</v>
      </c>
      <c r="J46" s="56">
        <f t="shared" si="0"/>
        <v>28.325569641139712</v>
      </c>
      <c r="K46" s="56">
        <f t="shared" si="1"/>
        <v>58.381748724595518</v>
      </c>
      <c r="L46" s="46"/>
    </row>
    <row r="47" spans="2:12" ht="13.5" customHeight="1" outlineLevel="1" x14ac:dyDescent="0.2">
      <c r="B47" s="50" t="s">
        <v>197</v>
      </c>
      <c r="C47" s="32">
        <f>10115943284</f>
        <v>10115943284</v>
      </c>
      <c r="D47" s="32">
        <f>5057056380</f>
        <v>5057056380</v>
      </c>
      <c r="E47" s="34" t="s">
        <v>223</v>
      </c>
      <c r="F47" s="34" t="s">
        <v>223</v>
      </c>
      <c r="G47" s="34" t="s">
        <v>223</v>
      </c>
      <c r="H47" s="34" t="s">
        <v>223</v>
      </c>
      <c r="I47" s="34" t="s">
        <v>223</v>
      </c>
      <c r="J47" s="57">
        <f t="shared" si="0"/>
        <v>6.3718968219049197</v>
      </c>
      <c r="K47" s="57">
        <f t="shared" si="1"/>
        <v>49.99095228221131</v>
      </c>
      <c r="L47" s="45"/>
    </row>
    <row r="48" spans="2:12" ht="13.5" customHeight="1" outlineLevel="1" x14ac:dyDescent="0.2">
      <c r="B48" s="83" t="s">
        <v>196</v>
      </c>
      <c r="C48" s="34">
        <f>27992006567.78</f>
        <v>27992006567.779999</v>
      </c>
      <c r="D48" s="34">
        <f>17224510736</f>
        <v>17224510736</v>
      </c>
      <c r="E48" s="34" t="s">
        <v>223</v>
      </c>
      <c r="F48" s="34" t="s">
        <v>223</v>
      </c>
      <c r="G48" s="34" t="s">
        <v>223</v>
      </c>
      <c r="H48" s="34" t="s">
        <v>223</v>
      </c>
      <c r="I48" s="34" t="s">
        <v>223</v>
      </c>
      <c r="J48" s="57">
        <f t="shared" si="0"/>
        <v>21.702903224817433</v>
      </c>
      <c r="K48" s="57">
        <f t="shared" si="1"/>
        <v>61.533676388266322</v>
      </c>
      <c r="L48" s="45"/>
    </row>
    <row r="49" spans="1:26" ht="13.5" customHeight="1" outlineLevel="1" x14ac:dyDescent="0.2">
      <c r="B49" s="83" t="s">
        <v>195</v>
      </c>
      <c r="C49" s="34">
        <f>236435</f>
        <v>236435</v>
      </c>
      <c r="D49" s="34">
        <f>0</f>
        <v>0</v>
      </c>
      <c r="E49" s="34" t="s">
        <v>223</v>
      </c>
      <c r="F49" s="34" t="s">
        <v>223</v>
      </c>
      <c r="G49" s="34" t="s">
        <v>223</v>
      </c>
      <c r="H49" s="34" t="s">
        <v>223</v>
      </c>
      <c r="I49" s="34" t="s">
        <v>223</v>
      </c>
      <c r="J49" s="57">
        <f t="shared" si="0"/>
        <v>0</v>
      </c>
      <c r="K49" s="57">
        <f t="shared" si="1"/>
        <v>0</v>
      </c>
      <c r="L49" s="45"/>
    </row>
    <row r="50" spans="1:26" ht="13.5" customHeight="1" outlineLevel="1" x14ac:dyDescent="0.2">
      <c r="B50" s="83" t="s">
        <v>194</v>
      </c>
      <c r="C50" s="34">
        <f>394282726</f>
        <v>394282726</v>
      </c>
      <c r="D50" s="34">
        <f>197125914</f>
        <v>197125914</v>
      </c>
      <c r="E50" s="34" t="s">
        <v>223</v>
      </c>
      <c r="F50" s="34" t="s">
        <v>223</v>
      </c>
      <c r="G50" s="34" t="s">
        <v>223</v>
      </c>
      <c r="H50" s="34" t="s">
        <v>223</v>
      </c>
      <c r="I50" s="34" t="s">
        <v>223</v>
      </c>
      <c r="J50" s="57">
        <f t="shared" si="0"/>
        <v>0.2483788770675526</v>
      </c>
      <c r="K50" s="57">
        <f t="shared" si="1"/>
        <v>49.996081745665926</v>
      </c>
      <c r="L50" s="45"/>
    </row>
    <row r="51" spans="1:26" s="6" customFormat="1" ht="13.5" customHeight="1" outlineLevel="1" x14ac:dyDescent="0.2">
      <c r="B51" s="83" t="s">
        <v>192</v>
      </c>
      <c r="C51" s="34">
        <f>3726697.54</f>
        <v>3726697.54</v>
      </c>
      <c r="D51" s="34">
        <f>1897393</f>
        <v>1897393</v>
      </c>
      <c r="E51" s="34" t="s">
        <v>223</v>
      </c>
      <c r="F51" s="34" t="s">
        <v>223</v>
      </c>
      <c r="G51" s="34" t="s">
        <v>223</v>
      </c>
      <c r="H51" s="34" t="s">
        <v>223</v>
      </c>
      <c r="I51" s="34" t="s">
        <v>223</v>
      </c>
      <c r="J51" s="57">
        <f t="shared" si="0"/>
        <v>2.3907173498043228E-3</v>
      </c>
      <c r="K51" s="57">
        <f t="shared" si="1"/>
        <v>50.913522753982335</v>
      </c>
      <c r="L51" s="46"/>
    </row>
    <row r="52" spans="1:26" s="6" customFormat="1" x14ac:dyDescent="0.2">
      <c r="A52" s="3"/>
      <c r="B52" s="27"/>
      <c r="C52" s="8"/>
      <c r="D52" s="9"/>
      <c r="E52" s="19"/>
      <c r="F52" s="19"/>
      <c r="G52" s="19"/>
      <c r="H52" s="19"/>
      <c r="I52" s="19"/>
      <c r="J52" s="10"/>
      <c r="K52" s="10"/>
      <c r="L52" s="4"/>
    </row>
    <row r="53" spans="1:26" s="6" customFormat="1" ht="13.5" customHeight="1" x14ac:dyDescent="0.2">
      <c r="A53" s="3"/>
      <c r="B53" s="121" t="s">
        <v>5</v>
      </c>
      <c r="C53" s="66">
        <f t="shared" ref="C53:I53" si="4">+C6</f>
        <v>169467371569.22</v>
      </c>
      <c r="D53" s="66">
        <f t="shared" si="4"/>
        <v>79365007333.690002</v>
      </c>
      <c r="E53" s="66">
        <f t="shared" si="4"/>
        <v>1997700713.71</v>
      </c>
      <c r="F53" s="66">
        <f t="shared" si="4"/>
        <v>367812380.14999998</v>
      </c>
      <c r="G53" s="66">
        <f t="shared" si="4"/>
        <v>50077405.07</v>
      </c>
      <c r="H53" s="66">
        <f t="shared" si="4"/>
        <v>139528527.34</v>
      </c>
      <c r="I53" s="66">
        <f t="shared" si="4"/>
        <v>2105309.15</v>
      </c>
      <c r="J53" s="85">
        <f t="shared" si="0"/>
        <v>100</v>
      </c>
      <c r="K53" s="115">
        <f>IF(C53=0,"",100*D53/C53)</f>
        <v>46.832028253458141</v>
      </c>
      <c r="L53" s="117"/>
    </row>
    <row r="54" spans="1:26" s="6" customFormat="1" ht="13.5" customHeight="1" x14ac:dyDescent="0.2">
      <c r="A54" s="3"/>
      <c r="B54" s="123" t="s">
        <v>286</v>
      </c>
      <c r="C54" s="34">
        <f>40178135428.1</f>
        <v>40178135428.099998</v>
      </c>
      <c r="D54" s="34">
        <f>8081410759.54</f>
        <v>8081410759.54</v>
      </c>
      <c r="E54" s="34">
        <f>0</f>
        <v>0</v>
      </c>
      <c r="F54" s="34">
        <f>0</f>
        <v>0</v>
      </c>
      <c r="G54" s="34">
        <f>0</f>
        <v>0</v>
      </c>
      <c r="H54" s="34">
        <f>0</f>
        <v>0</v>
      </c>
      <c r="I54" s="34">
        <f>6350</f>
        <v>6350</v>
      </c>
      <c r="J54" s="61">
        <f t="shared" si="0"/>
        <v>10.182586798690417</v>
      </c>
      <c r="K54" s="116">
        <f>IF(C54=0,"",100*D54/C54)</f>
        <v>20.11395171386669</v>
      </c>
      <c r="L54" s="117"/>
    </row>
    <row r="55" spans="1:26" s="6" customFormat="1" ht="13.5" customHeight="1" x14ac:dyDescent="0.2">
      <c r="A55" s="3"/>
      <c r="B55" s="123" t="s">
        <v>287</v>
      </c>
      <c r="C55" s="34">
        <f>C53-C54</f>
        <v>129289236141.12</v>
      </c>
      <c r="D55" s="34">
        <f t="shared" ref="D55:I55" si="5">D53-D54</f>
        <v>71283596574.150009</v>
      </c>
      <c r="E55" s="34">
        <f t="shared" si="5"/>
        <v>1997700713.71</v>
      </c>
      <c r="F55" s="34">
        <f t="shared" si="5"/>
        <v>367812380.14999998</v>
      </c>
      <c r="G55" s="34">
        <f t="shared" si="5"/>
        <v>50077405.07</v>
      </c>
      <c r="H55" s="34">
        <f t="shared" si="5"/>
        <v>139528527.34</v>
      </c>
      <c r="I55" s="34">
        <f t="shared" si="5"/>
        <v>2098959.15</v>
      </c>
      <c r="J55" s="61">
        <f t="shared" si="0"/>
        <v>89.817413201309591</v>
      </c>
      <c r="K55" s="116">
        <f>IF(C55=0,"",100*D55/C55)</f>
        <v>55.134981613120154</v>
      </c>
      <c r="L55" s="117"/>
    </row>
    <row r="56" spans="1:26" s="6" customFormat="1" ht="13.5" customHeight="1" x14ac:dyDescent="0.2">
      <c r="A56" s="3"/>
      <c r="B56" s="144" t="s">
        <v>406</v>
      </c>
      <c r="C56" s="144"/>
      <c r="D56" s="144"/>
      <c r="E56" s="144"/>
      <c r="F56" s="113"/>
      <c r="G56" s="113"/>
      <c r="H56" s="113"/>
      <c r="I56" s="113"/>
      <c r="J56" s="10"/>
      <c r="K56" s="10"/>
      <c r="L56" s="10"/>
    </row>
    <row r="57" spans="1:26" ht="15" x14ac:dyDescent="0.2">
      <c r="B57" s="128" t="str">
        <f>CONCATENATE("Informacja z wykonania budżetów gmin za ",$D$117," ",$C$118," rok     ",$C$120,"")</f>
        <v xml:space="preserve">Informacja z wykonania budżetów gmin za II Kwartały 2023 rok     </v>
      </c>
      <c r="C57" s="128"/>
      <c r="D57" s="128"/>
      <c r="E57" s="128"/>
      <c r="F57" s="128"/>
      <c r="G57" s="128"/>
      <c r="H57" s="128"/>
      <c r="I57" s="128"/>
      <c r="J57" s="128"/>
      <c r="K57" s="128"/>
      <c r="L57" s="128"/>
      <c r="M57" s="128"/>
    </row>
    <row r="58" spans="1:26" s="6" customFormat="1" ht="7.5" customHeight="1" x14ac:dyDescent="0.2">
      <c r="B58" s="7"/>
      <c r="C58" s="8"/>
      <c r="D58" s="9"/>
      <c r="E58" s="9"/>
      <c r="F58" s="5"/>
      <c r="G58" s="5"/>
      <c r="H58" s="5"/>
      <c r="I58" s="5"/>
      <c r="J58" s="5"/>
      <c r="K58" s="10"/>
      <c r="L58" s="10"/>
      <c r="M58" s="4"/>
    </row>
    <row r="59" spans="1:26" ht="29.25" customHeight="1" x14ac:dyDescent="0.2">
      <c r="B59" s="164" t="s">
        <v>0</v>
      </c>
      <c r="C59" s="148" t="s">
        <v>219</v>
      </c>
      <c r="D59" s="148" t="s">
        <v>221</v>
      </c>
      <c r="E59" s="148" t="s">
        <v>220</v>
      </c>
      <c r="F59" s="148" t="s">
        <v>40</v>
      </c>
      <c r="G59" s="148"/>
      <c r="H59" s="148"/>
      <c r="I59" s="167" t="s">
        <v>334</v>
      </c>
      <c r="J59" s="148" t="s">
        <v>2</v>
      </c>
      <c r="K59" s="145" t="s">
        <v>67</v>
      </c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18" customHeight="1" x14ac:dyDescent="0.2">
      <c r="B60" s="164"/>
      <c r="C60" s="148"/>
      <c r="D60" s="148"/>
      <c r="E60" s="149"/>
      <c r="F60" s="150" t="s">
        <v>222</v>
      </c>
      <c r="G60" s="151" t="s">
        <v>179</v>
      </c>
      <c r="H60" s="149"/>
      <c r="I60" s="168"/>
      <c r="J60" s="148"/>
      <c r="K60" s="145"/>
      <c r="L60" s="12"/>
      <c r="M60" s="13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t="57.75" customHeight="1" x14ac:dyDescent="0.2">
      <c r="B61" s="164"/>
      <c r="C61" s="148"/>
      <c r="D61" s="148"/>
      <c r="E61" s="149"/>
      <c r="F61" s="149"/>
      <c r="G61" s="21" t="s">
        <v>201</v>
      </c>
      <c r="H61" s="21" t="s">
        <v>202</v>
      </c>
      <c r="I61" s="169"/>
      <c r="J61" s="148"/>
      <c r="K61" s="145"/>
      <c r="L61" s="12"/>
      <c r="M61" s="11"/>
      <c r="N61" s="29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13.5" customHeight="1" x14ac:dyDescent="0.2">
      <c r="B62" s="164"/>
      <c r="C62" s="161" t="s">
        <v>302</v>
      </c>
      <c r="D62" s="162"/>
      <c r="E62" s="162"/>
      <c r="F62" s="162"/>
      <c r="G62" s="162"/>
      <c r="H62" s="162"/>
      <c r="I62" s="163"/>
      <c r="J62" s="166" t="s">
        <v>4</v>
      </c>
      <c r="K62" s="166"/>
      <c r="N62" s="29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11.25" customHeight="1" x14ac:dyDescent="0.2">
      <c r="B63" s="20">
        <v>1</v>
      </c>
      <c r="C63" s="22">
        <v>2</v>
      </c>
      <c r="D63" s="22">
        <v>3</v>
      </c>
      <c r="E63" s="22">
        <v>4</v>
      </c>
      <c r="F63" s="20">
        <v>5</v>
      </c>
      <c r="G63" s="20">
        <v>6</v>
      </c>
      <c r="H63" s="22">
        <v>7</v>
      </c>
      <c r="I63" s="22">
        <v>8</v>
      </c>
      <c r="J63" s="20">
        <v>9</v>
      </c>
      <c r="K63" s="22">
        <v>10</v>
      </c>
      <c r="M63" s="11"/>
      <c r="N63" s="29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25.5" customHeight="1" x14ac:dyDescent="0.2">
      <c r="B64" s="121" t="s">
        <v>227</v>
      </c>
      <c r="C64" s="86">
        <f>196265237548.52</f>
        <v>196265237548.51999</v>
      </c>
      <c r="D64" s="104">
        <f>79268662498.1</f>
        <v>79268662498.100006</v>
      </c>
      <c r="E64" s="104">
        <f>136318644869.94</f>
        <v>136318644869.94</v>
      </c>
      <c r="F64" s="86">
        <f>4038014427.76</f>
        <v>4038014427.7600002</v>
      </c>
      <c r="G64" s="86">
        <f>9298112.91</f>
        <v>9298112.9100000001</v>
      </c>
      <c r="H64" s="86">
        <f>23891198.71</f>
        <v>23891198.710000001</v>
      </c>
      <c r="I64" s="106">
        <f>0</f>
        <v>0</v>
      </c>
      <c r="J64" s="81">
        <f>IF($D$64=0,"",100*$D64/$D$64)</f>
        <v>100</v>
      </c>
      <c r="K64" s="81">
        <f>IF(C64=0,"",100*D64/C64)</f>
        <v>40.388539248323838</v>
      </c>
      <c r="N64" s="114"/>
    </row>
    <row r="65" spans="2:14" ht="13.5" customHeight="1" x14ac:dyDescent="0.2">
      <c r="B65" s="122" t="s">
        <v>42</v>
      </c>
      <c r="C65" s="39">
        <f>63365051188.4601</f>
        <v>63365051188.460098</v>
      </c>
      <c r="D65" s="39">
        <f>12699884047.05</f>
        <v>12699884047.049999</v>
      </c>
      <c r="E65" s="39">
        <f>35326706909.46</f>
        <v>35326706909.459999</v>
      </c>
      <c r="F65" s="39">
        <f>1640354899.85</f>
        <v>1640354899.8499999</v>
      </c>
      <c r="G65" s="39">
        <f>3201727.58</f>
        <v>3201727.58</v>
      </c>
      <c r="H65" s="39">
        <f>8185417.72</f>
        <v>8185417.7199999997</v>
      </c>
      <c r="I65" s="107">
        <f>0</f>
        <v>0</v>
      </c>
      <c r="J65" s="81">
        <f t="shared" ref="J65:J73" si="6">IF($D$64=0,"",100*$D65/$D$64)</f>
        <v>16.021317437208435</v>
      </c>
      <c r="K65" s="81">
        <f t="shared" ref="K65:K73" si="7">IF(C65=0,"",100*D65/C65)</f>
        <v>20.04241109074157</v>
      </c>
      <c r="N65" s="90"/>
    </row>
    <row r="66" spans="2:14" ht="13.5" customHeight="1" outlineLevel="1" x14ac:dyDescent="0.2">
      <c r="B66" s="50" t="s">
        <v>41</v>
      </c>
      <c r="C66" s="32">
        <f>62111877997.1001</f>
        <v>62111877997.100098</v>
      </c>
      <c r="D66" s="32">
        <f>12183267312.3</f>
        <v>12183267312.299999</v>
      </c>
      <c r="E66" s="32">
        <f>34727437824.04</f>
        <v>34727437824.040001</v>
      </c>
      <c r="F66" s="32">
        <f>1634201381.85</f>
        <v>1634201381.8499999</v>
      </c>
      <c r="G66" s="32">
        <f>3201727.58</f>
        <v>3201727.58</v>
      </c>
      <c r="H66" s="32">
        <f>8185417.72</f>
        <v>8185417.7199999997</v>
      </c>
      <c r="I66" s="101">
        <f>0</f>
        <v>0</v>
      </c>
      <c r="J66" s="81">
        <f t="shared" si="6"/>
        <v>15.36958859699698</v>
      </c>
      <c r="K66" s="81">
        <f t="shared" si="7"/>
        <v>19.615036133457142</v>
      </c>
      <c r="N66" s="113"/>
    </row>
    <row r="67" spans="2:14" ht="27" customHeight="1" x14ac:dyDescent="0.2">
      <c r="B67" s="122" t="s">
        <v>228</v>
      </c>
      <c r="C67" s="39">
        <f t="shared" ref="C67:I67" si="8">C64-C65</f>
        <v>132900186360.05989</v>
      </c>
      <c r="D67" s="39">
        <f>D64-D65</f>
        <v>66568778451.050003</v>
      </c>
      <c r="E67" s="39">
        <f>E64-E65</f>
        <v>100991937960.48001</v>
      </c>
      <c r="F67" s="39">
        <f t="shared" si="8"/>
        <v>2397659527.9100003</v>
      </c>
      <c r="G67" s="39">
        <f t="shared" si="8"/>
        <v>6096385.3300000001</v>
      </c>
      <c r="H67" s="39">
        <f t="shared" si="8"/>
        <v>15705780.990000002</v>
      </c>
      <c r="I67" s="107">
        <f t="shared" si="8"/>
        <v>0</v>
      </c>
      <c r="J67" s="81">
        <f t="shared" si="6"/>
        <v>83.978682562791562</v>
      </c>
      <c r="K67" s="81">
        <f t="shared" si="7"/>
        <v>50.089304066661356</v>
      </c>
      <c r="N67" s="90"/>
    </row>
    <row r="68" spans="2:14" ht="22.5" outlineLevel="1" x14ac:dyDescent="0.2">
      <c r="B68" s="50" t="s">
        <v>376</v>
      </c>
      <c r="C68" s="32">
        <f>57947666991.41</f>
        <v>57947666991.410004</v>
      </c>
      <c r="D68" s="32">
        <f>29719593753.59</f>
        <v>29719593753.59</v>
      </c>
      <c r="E68" s="32">
        <f>50468796828.28</f>
        <v>50468796828.279999</v>
      </c>
      <c r="F68" s="32">
        <f>986224717.730002</f>
        <v>986224717.73000205</v>
      </c>
      <c r="G68" s="32">
        <f>908874.6</f>
        <v>908874.6</v>
      </c>
      <c r="H68" s="32">
        <f>1668307.04</f>
        <v>1668307.04</v>
      </c>
      <c r="I68" s="101">
        <f>0</f>
        <v>0</v>
      </c>
      <c r="J68" s="81">
        <f t="shared" si="6"/>
        <v>37.492235666651183</v>
      </c>
      <c r="K68" s="81">
        <f t="shared" si="7"/>
        <v>51.286954758671385</v>
      </c>
      <c r="N68" s="113"/>
    </row>
    <row r="69" spans="2:14" ht="13.5" customHeight="1" outlineLevel="1" x14ac:dyDescent="0.2">
      <c r="B69" s="83" t="s">
        <v>200</v>
      </c>
      <c r="C69" s="88">
        <f>11798723667.52</f>
        <v>11798723667.52</v>
      </c>
      <c r="D69" s="88">
        <f>6276558697.08</f>
        <v>6276558697.0799999</v>
      </c>
      <c r="E69" s="88">
        <f>8460446597.35999</f>
        <v>8460446597.3599901</v>
      </c>
      <c r="F69" s="88">
        <f>49790058.49</f>
        <v>49790058.490000002</v>
      </c>
      <c r="G69" s="88">
        <f>0</f>
        <v>0</v>
      </c>
      <c r="H69" s="88">
        <f>206806.21</f>
        <v>206806.21</v>
      </c>
      <c r="I69" s="108">
        <f>0</f>
        <v>0</v>
      </c>
      <c r="J69" s="81">
        <f t="shared" si="6"/>
        <v>7.9180832617561112</v>
      </c>
      <c r="K69" s="81">
        <f t="shared" si="7"/>
        <v>53.196929379390099</v>
      </c>
      <c r="N69" s="112"/>
    </row>
    <row r="70" spans="2:14" ht="13.5" customHeight="1" outlineLevel="1" x14ac:dyDescent="0.2">
      <c r="B70" s="83" t="s">
        <v>199</v>
      </c>
      <c r="C70" s="34">
        <f>2432130084.06</f>
        <v>2432130084.0599999</v>
      </c>
      <c r="D70" s="34">
        <f>1292854175.78</f>
        <v>1292854175.78</v>
      </c>
      <c r="E70" s="34">
        <f>1541211083.85</f>
        <v>1541211083.8499999</v>
      </c>
      <c r="F70" s="34">
        <f>83801727.1</f>
        <v>83801727.099999994</v>
      </c>
      <c r="G70" s="34">
        <f>0</f>
        <v>0</v>
      </c>
      <c r="H70" s="34">
        <f>469.93</f>
        <v>469.93</v>
      </c>
      <c r="I70" s="109">
        <f>0</f>
        <v>0</v>
      </c>
      <c r="J70" s="81">
        <f t="shared" si="6"/>
        <v>1.6309776588080926</v>
      </c>
      <c r="K70" s="81">
        <f t="shared" si="7"/>
        <v>53.157279055642228</v>
      </c>
      <c r="N70" s="113"/>
    </row>
    <row r="71" spans="2:14" ht="24" customHeight="1" outlineLevel="1" x14ac:dyDescent="0.2">
      <c r="B71" s="83" t="s">
        <v>268</v>
      </c>
      <c r="C71" s="88">
        <f>100768810.7</f>
        <v>100768810.7</v>
      </c>
      <c r="D71" s="88">
        <f>716952.55</f>
        <v>716952.55</v>
      </c>
      <c r="E71" s="88">
        <f>4885393.63</f>
        <v>4885393.63</v>
      </c>
      <c r="F71" s="88">
        <f>0</f>
        <v>0</v>
      </c>
      <c r="G71" s="88">
        <f>0</f>
        <v>0</v>
      </c>
      <c r="H71" s="88">
        <f>0</f>
        <v>0</v>
      </c>
      <c r="I71" s="108">
        <f>0</f>
        <v>0</v>
      </c>
      <c r="J71" s="81">
        <f t="shared" si="6"/>
        <v>9.044589972956648E-4</v>
      </c>
      <c r="K71" s="81">
        <f t="shared" si="7"/>
        <v>0.71148259567580663</v>
      </c>
      <c r="N71" s="112"/>
    </row>
    <row r="72" spans="2:14" ht="22.5" outlineLevel="1" x14ac:dyDescent="0.2">
      <c r="B72" s="83" t="s">
        <v>282</v>
      </c>
      <c r="C72" s="88">
        <f>15201188326.32</f>
        <v>15201188326.32</v>
      </c>
      <c r="D72" s="88">
        <f>7997397345.24</f>
        <v>7997397345.2399998</v>
      </c>
      <c r="E72" s="88">
        <f>11164677857.7</f>
        <v>11164677857.700001</v>
      </c>
      <c r="F72" s="88">
        <f>150954830.14</f>
        <v>150954830.13999999</v>
      </c>
      <c r="G72" s="88">
        <f>5087.14</f>
        <v>5087.1400000000003</v>
      </c>
      <c r="H72" s="88">
        <f>294119.63</f>
        <v>294119.63</v>
      </c>
      <c r="I72" s="110">
        <f>0</f>
        <v>0</v>
      </c>
      <c r="J72" s="81">
        <f t="shared" si="6"/>
        <v>10.088977274508309</v>
      </c>
      <c r="K72" s="81">
        <f t="shared" si="7"/>
        <v>52.61034317555923</v>
      </c>
      <c r="N72" s="112"/>
    </row>
    <row r="73" spans="2:14" ht="13.5" customHeight="1" outlineLevel="1" x14ac:dyDescent="0.2">
      <c r="B73" s="83" t="s">
        <v>198</v>
      </c>
      <c r="C73" s="34">
        <f t="shared" ref="C73:I73" si="9">C67-C68-C69-C70-C71-C72</f>
        <v>45419708480.049889</v>
      </c>
      <c r="D73" s="34">
        <f>D67-D68-D69-D70-D71-D72</f>
        <v>21281657526.810005</v>
      </c>
      <c r="E73" s="34">
        <f>E67-E68-E69-E70-E71-E72</f>
        <v>29351920199.660023</v>
      </c>
      <c r="F73" s="34">
        <f t="shared" si="9"/>
        <v>1126888194.4499984</v>
      </c>
      <c r="G73" s="34">
        <f t="shared" si="9"/>
        <v>5182423.5900000008</v>
      </c>
      <c r="H73" s="34">
        <f t="shared" si="9"/>
        <v>13536078.180000002</v>
      </c>
      <c r="I73" s="108">
        <f t="shared" si="9"/>
        <v>0</v>
      </c>
      <c r="J73" s="81">
        <f t="shared" si="6"/>
        <v>26.847504242070574</v>
      </c>
      <c r="K73" s="81">
        <f t="shared" si="7"/>
        <v>46.855557287774623</v>
      </c>
      <c r="N73" s="113"/>
    </row>
    <row r="74" spans="2:14" ht="18" customHeight="1" x14ac:dyDescent="0.2">
      <c r="B74" s="121" t="s">
        <v>54</v>
      </c>
      <c r="C74" s="39">
        <f>C6-C64</f>
        <v>-26797865979.299988</v>
      </c>
      <c r="D74" s="39">
        <f>D6-D64</f>
        <v>96344835.589996338</v>
      </c>
      <c r="E74" s="118"/>
      <c r="F74" s="90"/>
      <c r="G74" s="90"/>
      <c r="H74" s="90"/>
      <c r="I74" s="119"/>
      <c r="J74" s="41"/>
      <c r="K74" s="41"/>
      <c r="L74" s="14"/>
      <c r="N74" s="90"/>
    </row>
    <row r="75" spans="2:14" ht="38.25" x14ac:dyDescent="0.2">
      <c r="B75" s="124" t="s">
        <v>381</v>
      </c>
      <c r="C75" s="39">
        <f>+C55-C67</f>
        <v>-3610950218.9398956</v>
      </c>
      <c r="D75" s="39">
        <f>+D55-D67</f>
        <v>4714818123.1000061</v>
      </c>
      <c r="E75" s="118"/>
      <c r="F75" s="90"/>
      <c r="G75" s="90"/>
      <c r="H75" s="90"/>
      <c r="I75" s="90"/>
      <c r="J75" s="41"/>
      <c r="K75" s="41"/>
      <c r="L75" s="14"/>
      <c r="N75" s="90"/>
    </row>
    <row r="76" spans="2:14" x14ac:dyDescent="0.2">
      <c r="B76" s="89"/>
      <c r="C76" s="90"/>
      <c r="D76" s="90"/>
      <c r="E76" s="90"/>
      <c r="F76" s="90"/>
      <c r="G76" s="90"/>
      <c r="H76" s="90"/>
      <c r="I76" s="90"/>
      <c r="J76" s="90"/>
      <c r="K76" s="41"/>
      <c r="L76" s="41"/>
      <c r="M76" s="14"/>
    </row>
    <row r="77" spans="2:14" ht="14.25" customHeight="1" x14ac:dyDescent="0.2">
      <c r="B77" s="142" t="s">
        <v>407</v>
      </c>
      <c r="C77" s="143"/>
      <c r="D77" s="143"/>
      <c r="E77" s="143"/>
      <c r="F77" s="143"/>
      <c r="G77" s="90"/>
      <c r="H77" s="90"/>
      <c r="I77" s="90"/>
      <c r="J77" s="90"/>
      <c r="K77" s="41"/>
      <c r="L77" s="41"/>
      <c r="M77" s="14"/>
    </row>
    <row r="78" spans="2:14" ht="27" customHeight="1" x14ac:dyDescent="0.2">
      <c r="B78" s="121" t="s">
        <v>382</v>
      </c>
      <c r="C78" s="66">
        <f>9771695411.81</f>
        <v>9771695411.8099995</v>
      </c>
      <c r="D78" s="66">
        <f>2790316052.21</f>
        <v>2790316052.21</v>
      </c>
      <c r="E78" s="66">
        <f>5779604541.22</f>
        <v>5779604541.2200003</v>
      </c>
      <c r="F78" s="66">
        <f>237979133.6</f>
        <v>237979133.59999999</v>
      </c>
      <c r="G78" s="66">
        <f>3233.33</f>
        <v>3233.33</v>
      </c>
      <c r="H78" s="66">
        <f>1705415.65</f>
        <v>1705415.65</v>
      </c>
      <c r="I78" s="66">
        <f>0</f>
        <v>0</v>
      </c>
      <c r="J78" s="91">
        <f>IF($D$78=0,"",100*$D78/$D$78)</f>
        <v>100</v>
      </c>
      <c r="K78" s="91">
        <f>IF(C78=0,"",100*D78/C78)</f>
        <v>28.555086242635486</v>
      </c>
      <c r="L78" s="14"/>
    </row>
    <row r="79" spans="2:14" ht="15" customHeight="1" x14ac:dyDescent="0.2">
      <c r="B79" s="125" t="s">
        <v>289</v>
      </c>
      <c r="C79" s="32">
        <f>8664336439.49</f>
        <v>8664336439.4899998</v>
      </c>
      <c r="D79" s="32">
        <f>2256826731.75</f>
        <v>2256826731.75</v>
      </c>
      <c r="E79" s="32">
        <f>5108629371.15</f>
        <v>5108629371.1499996</v>
      </c>
      <c r="F79" s="32">
        <f>224602423.82</f>
        <v>224602423.81999999</v>
      </c>
      <c r="G79" s="32">
        <f>3233.33</f>
        <v>3233.33</v>
      </c>
      <c r="H79" s="32">
        <f>1702896.47</f>
        <v>1702896.47</v>
      </c>
      <c r="I79" s="32">
        <f>0</f>
        <v>0</v>
      </c>
      <c r="J79" s="91">
        <f>IF($D$78=0,"",100*$D79/$D$78)</f>
        <v>80.880684822872908</v>
      </c>
      <c r="K79" s="91">
        <f>IF(C79=0,"",100*D79/C79)</f>
        <v>26.047311845647137</v>
      </c>
      <c r="L79" s="14"/>
    </row>
    <row r="80" spans="2:14" ht="14.25" customHeight="1" x14ac:dyDescent="0.2">
      <c r="B80" s="126" t="s">
        <v>290</v>
      </c>
      <c r="C80" s="32">
        <f>+C78-C79</f>
        <v>1107358972.3199997</v>
      </c>
      <c r="D80" s="32">
        <f t="shared" ref="D80:I80" si="10">+D78-D79</f>
        <v>533489320.46000004</v>
      </c>
      <c r="E80" s="32">
        <f t="shared" si="10"/>
        <v>670975170.07000065</v>
      </c>
      <c r="F80" s="32">
        <f t="shared" si="10"/>
        <v>13376709.780000001</v>
      </c>
      <c r="G80" s="32">
        <f t="shared" si="10"/>
        <v>0</v>
      </c>
      <c r="H80" s="32">
        <f t="shared" si="10"/>
        <v>2519.1799999999348</v>
      </c>
      <c r="I80" s="32">
        <f t="shared" si="10"/>
        <v>0</v>
      </c>
      <c r="J80" s="91">
        <f>IF($D$78=0,"",100*$D80/$D$78)</f>
        <v>19.119315177127092</v>
      </c>
      <c r="K80" s="91">
        <f>IF(C80=0,"",100*D80/C80)</f>
        <v>48.176728034478295</v>
      </c>
      <c r="L80" s="11"/>
    </row>
    <row r="81" spans="2:13" ht="15" x14ac:dyDescent="0.2">
      <c r="B81" s="128" t="str">
        <f>CONCATENATE("Informacja z wykonania budżetów gmin za ",$D$117," ",$C$118," rok     ",$C$120,"")</f>
        <v xml:space="preserve">Informacja z wykonania budżetów gmin za II Kwartały 2023 rok     </v>
      </c>
      <c r="C81" s="128"/>
      <c r="D81" s="128"/>
      <c r="E81" s="128"/>
      <c r="F81" s="128"/>
      <c r="G81" s="128"/>
      <c r="H81" s="128"/>
      <c r="I81" s="128"/>
      <c r="J81" s="128"/>
      <c r="K81" s="128"/>
      <c r="L81" s="128"/>
      <c r="M81" s="128"/>
    </row>
    <row r="83" spans="2:13" ht="18" customHeight="1" x14ac:dyDescent="0.2">
      <c r="B83" s="65" t="s">
        <v>55</v>
      </c>
      <c r="C83" s="103" t="s">
        <v>56</v>
      </c>
      <c r="D83" s="103" t="s">
        <v>1</v>
      </c>
      <c r="E83" s="152" t="s">
        <v>223</v>
      </c>
      <c r="F83" s="153"/>
      <c r="G83" s="153"/>
      <c r="H83" s="153"/>
      <c r="I83" s="154"/>
      <c r="J83" s="22" t="s">
        <v>132</v>
      </c>
      <c r="K83" s="22" t="s">
        <v>133</v>
      </c>
    </row>
    <row r="84" spans="2:13" ht="13.5" customHeight="1" x14ac:dyDescent="0.2">
      <c r="B84" s="65"/>
      <c r="C84" s="150" t="s">
        <v>302</v>
      </c>
      <c r="D84" s="165"/>
      <c r="E84" s="155"/>
      <c r="F84" s="156"/>
      <c r="G84" s="156"/>
      <c r="H84" s="156"/>
      <c r="I84" s="157"/>
      <c r="J84" s="150" t="s">
        <v>4</v>
      </c>
      <c r="K84" s="170"/>
      <c r="M84" s="17"/>
    </row>
    <row r="85" spans="2:13" ht="11.25" customHeight="1" x14ac:dyDescent="0.2">
      <c r="B85" s="64">
        <v>1</v>
      </c>
      <c r="C85" s="70">
        <v>2</v>
      </c>
      <c r="D85" s="70">
        <v>3</v>
      </c>
      <c r="E85" s="158"/>
      <c r="F85" s="159"/>
      <c r="G85" s="159"/>
      <c r="H85" s="159"/>
      <c r="I85" s="160"/>
      <c r="J85" s="49">
        <v>4</v>
      </c>
      <c r="K85" s="49">
        <v>5</v>
      </c>
      <c r="M85" s="11"/>
    </row>
    <row r="86" spans="2:13" ht="27" customHeight="1" x14ac:dyDescent="0.2">
      <c r="B86" s="127" t="s">
        <v>229</v>
      </c>
      <c r="C86" s="71">
        <f>31540559037.73</f>
        <v>31540559037.73</v>
      </c>
      <c r="D86" s="71">
        <f>25449073551.31</f>
        <v>25449073551.310001</v>
      </c>
      <c r="E86" s="71" t="s">
        <v>223</v>
      </c>
      <c r="F86" s="71" t="s">
        <v>223</v>
      </c>
      <c r="G86" s="71" t="s">
        <v>223</v>
      </c>
      <c r="H86" s="71" t="s">
        <v>223</v>
      </c>
      <c r="I86" s="71" t="s">
        <v>223</v>
      </c>
      <c r="J86" s="59">
        <f t="shared" ref="J86:J96" si="11">IF($D$86=0,"",100*$D86/$D$86)</f>
        <v>100</v>
      </c>
      <c r="K86" s="58">
        <f t="shared" ref="K86:K101" si="12">IF(C86=0,"",100*D86/C86)</f>
        <v>80.686818267446895</v>
      </c>
    </row>
    <row r="87" spans="2:13" ht="36" customHeight="1" x14ac:dyDescent="0.2">
      <c r="B87" s="135" t="s">
        <v>383</v>
      </c>
      <c r="C87" s="72">
        <f>12530379815.69</f>
        <v>12530379815.690001</v>
      </c>
      <c r="D87" s="72">
        <f>990310663.83</f>
        <v>990310663.83000004</v>
      </c>
      <c r="E87" s="71" t="s">
        <v>223</v>
      </c>
      <c r="F87" s="71" t="s">
        <v>223</v>
      </c>
      <c r="G87" s="71" t="s">
        <v>223</v>
      </c>
      <c r="H87" s="71" t="s">
        <v>223</v>
      </c>
      <c r="I87" s="71" t="s">
        <v>223</v>
      </c>
      <c r="J87" s="79">
        <f t="shared" si="11"/>
        <v>3.8913426920369107</v>
      </c>
      <c r="K87" s="80">
        <f t="shared" si="12"/>
        <v>7.9032773020174201</v>
      </c>
    </row>
    <row r="88" spans="2:13" ht="22.5" x14ac:dyDescent="0.2">
      <c r="B88" s="136" t="s">
        <v>338</v>
      </c>
      <c r="C88" s="92">
        <f>578628954.27</f>
        <v>578628954.26999998</v>
      </c>
      <c r="D88" s="92">
        <f>18900000</f>
        <v>18900000</v>
      </c>
      <c r="E88" s="71" t="s">
        <v>223</v>
      </c>
      <c r="F88" s="71" t="s">
        <v>223</v>
      </c>
      <c r="G88" s="71" t="s">
        <v>223</v>
      </c>
      <c r="H88" s="71" t="s">
        <v>223</v>
      </c>
      <c r="I88" s="71" t="s">
        <v>223</v>
      </c>
      <c r="J88" s="93">
        <f t="shared" si="11"/>
        <v>7.4265964778223198E-2</v>
      </c>
      <c r="K88" s="87">
        <f t="shared" si="12"/>
        <v>3.2663419036546997</v>
      </c>
    </row>
    <row r="89" spans="2:13" ht="13.5" customHeight="1" x14ac:dyDescent="0.2">
      <c r="B89" s="137" t="s">
        <v>339</v>
      </c>
      <c r="C89" s="92">
        <f>182361386.94</f>
        <v>182361386.94</v>
      </c>
      <c r="D89" s="92">
        <f>69717815.89</f>
        <v>69717815.890000001</v>
      </c>
      <c r="E89" s="71" t="s">
        <v>223</v>
      </c>
      <c r="F89" s="71" t="s">
        <v>223</v>
      </c>
      <c r="G89" s="71" t="s">
        <v>223</v>
      </c>
      <c r="H89" s="71" t="s">
        <v>223</v>
      </c>
      <c r="I89" s="71" t="s">
        <v>223</v>
      </c>
      <c r="J89" s="93">
        <f t="shared" si="11"/>
        <v>0.2739503100159465</v>
      </c>
      <c r="K89" s="87">
        <f t="shared" si="12"/>
        <v>38.230579981790967</v>
      </c>
    </row>
    <row r="90" spans="2:13" ht="50.1" customHeight="1" x14ac:dyDescent="0.2">
      <c r="B90" s="137" t="s">
        <v>377</v>
      </c>
      <c r="C90" s="92">
        <f>5008478734.86</f>
        <v>5008478734.8599997</v>
      </c>
      <c r="D90" s="92">
        <f>7425951039.42</f>
        <v>7425951039.4200001</v>
      </c>
      <c r="E90" s="71" t="s">
        <v>223</v>
      </c>
      <c r="F90" s="71" t="s">
        <v>223</v>
      </c>
      <c r="G90" s="71" t="s">
        <v>223</v>
      </c>
      <c r="H90" s="71" t="s">
        <v>223</v>
      </c>
      <c r="I90" s="71" t="s">
        <v>223</v>
      </c>
      <c r="J90" s="93">
        <f t="shared" si="11"/>
        <v>29.179651763935219</v>
      </c>
      <c r="K90" s="87">
        <f t="shared" si="12"/>
        <v>148.26759646065614</v>
      </c>
    </row>
    <row r="91" spans="2:13" ht="35.1" customHeight="1" x14ac:dyDescent="0.2">
      <c r="B91" s="137" t="s">
        <v>441</v>
      </c>
      <c r="C91" s="92">
        <f>3657419166.33</f>
        <v>3657419166.3299999</v>
      </c>
      <c r="D91" s="92">
        <f>4088952205.21</f>
        <v>4088952205.21</v>
      </c>
      <c r="E91" s="71" t="s">
        <v>223</v>
      </c>
      <c r="F91" s="71" t="s">
        <v>223</v>
      </c>
      <c r="G91" s="71" t="s">
        <v>223</v>
      </c>
      <c r="H91" s="71" t="s">
        <v>223</v>
      </c>
      <c r="I91" s="71" t="s">
        <v>223</v>
      </c>
      <c r="J91" s="93">
        <f t="shared" si="11"/>
        <v>16.067194732908142</v>
      </c>
      <c r="K91" s="87">
        <f t="shared" si="12"/>
        <v>111.79884009064833</v>
      </c>
    </row>
    <row r="92" spans="2:13" ht="13.5" customHeight="1" x14ac:dyDescent="0.2">
      <c r="B92" s="137" t="s">
        <v>340</v>
      </c>
      <c r="C92" s="92">
        <f>0</f>
        <v>0</v>
      </c>
      <c r="D92" s="92">
        <f>519636.4</f>
        <v>519636.4</v>
      </c>
      <c r="E92" s="71" t="s">
        <v>223</v>
      </c>
      <c r="F92" s="71" t="s">
        <v>223</v>
      </c>
      <c r="G92" s="71" t="s">
        <v>223</v>
      </c>
      <c r="H92" s="71" t="s">
        <v>223</v>
      </c>
      <c r="I92" s="71" t="s">
        <v>223</v>
      </c>
      <c r="J92" s="93">
        <f t="shared" si="11"/>
        <v>2.0418676497292432E-3</v>
      </c>
      <c r="K92" s="87" t="str">
        <f t="shared" si="12"/>
        <v/>
      </c>
    </row>
    <row r="93" spans="2:13" ht="35.1" customHeight="1" x14ac:dyDescent="0.2">
      <c r="B93" s="137" t="s">
        <v>359</v>
      </c>
      <c r="C93" s="92">
        <f>9656153736.74</f>
        <v>9656153736.7399998</v>
      </c>
      <c r="D93" s="92">
        <f>12118187202.39</f>
        <v>12118187202.389999</v>
      </c>
      <c r="E93" s="71" t="s">
        <v>223</v>
      </c>
      <c r="F93" s="71" t="s">
        <v>223</v>
      </c>
      <c r="G93" s="71" t="s">
        <v>223</v>
      </c>
      <c r="H93" s="71" t="s">
        <v>223</v>
      </c>
      <c r="I93" s="71" t="s">
        <v>223</v>
      </c>
      <c r="J93" s="93">
        <f t="shared" si="11"/>
        <v>47.617400208921204</v>
      </c>
      <c r="K93" s="87">
        <f t="shared" si="12"/>
        <v>125.4970408795625</v>
      </c>
    </row>
    <row r="94" spans="2:13" ht="56.25" x14ac:dyDescent="0.2">
      <c r="B94" s="137" t="s">
        <v>442</v>
      </c>
      <c r="C94" s="92">
        <f>0</f>
        <v>0</v>
      </c>
      <c r="D94" s="92">
        <f>256360148.31</f>
        <v>256360148.31</v>
      </c>
      <c r="E94" s="71" t="s">
        <v>223</v>
      </c>
      <c r="F94" s="71" t="s">
        <v>223</v>
      </c>
      <c r="G94" s="71" t="s">
        <v>223</v>
      </c>
      <c r="H94" s="71" t="s">
        <v>223</v>
      </c>
      <c r="I94" s="71" t="s">
        <v>223</v>
      </c>
      <c r="J94" s="93"/>
      <c r="K94" s="87"/>
    </row>
    <row r="95" spans="2:13" x14ac:dyDescent="0.2">
      <c r="B95" s="137" t="s">
        <v>426</v>
      </c>
      <c r="C95" s="92">
        <f>505766197.17</f>
        <v>505766197.17000002</v>
      </c>
      <c r="D95" s="92">
        <f>499074839.86</f>
        <v>499074839.86000001</v>
      </c>
      <c r="E95" s="71" t="s">
        <v>223</v>
      </c>
      <c r="F95" s="71" t="s">
        <v>223</v>
      </c>
      <c r="G95" s="71" t="s">
        <v>223</v>
      </c>
      <c r="H95" s="71" t="s">
        <v>223</v>
      </c>
      <c r="I95" s="71" t="s">
        <v>223</v>
      </c>
      <c r="J95" s="93"/>
      <c r="K95" s="87"/>
    </row>
    <row r="96" spans="2:13" ht="22.5" x14ac:dyDescent="0.2">
      <c r="B96" s="136" t="s">
        <v>427</v>
      </c>
      <c r="C96" s="92">
        <f>450850047.17</f>
        <v>450850047.17000002</v>
      </c>
      <c r="D96" s="92">
        <f>445611449.52</f>
        <v>445611449.51999998</v>
      </c>
      <c r="E96" s="71" t="s">
        <v>223</v>
      </c>
      <c r="F96" s="71" t="s">
        <v>223</v>
      </c>
      <c r="G96" s="71" t="s">
        <v>223</v>
      </c>
      <c r="H96" s="71" t="s">
        <v>223</v>
      </c>
      <c r="I96" s="71" t="s">
        <v>223</v>
      </c>
      <c r="J96" s="93">
        <f t="shared" si="11"/>
        <v>1.7509928155992223</v>
      </c>
      <c r="K96" s="87">
        <f t="shared" si="12"/>
        <v>98.838062082308113</v>
      </c>
    </row>
    <row r="97" spans="2:11" ht="27" customHeight="1" x14ac:dyDescent="0.2">
      <c r="B97" s="127" t="s">
        <v>230</v>
      </c>
      <c r="C97" s="78">
        <f>4738959301.43</f>
        <v>4738959301.4300003</v>
      </c>
      <c r="D97" s="78">
        <f>3058733137.86</f>
        <v>3058733137.8600001</v>
      </c>
      <c r="E97" s="71" t="s">
        <v>223</v>
      </c>
      <c r="F97" s="71" t="s">
        <v>223</v>
      </c>
      <c r="G97" s="71" t="s">
        <v>223</v>
      </c>
      <c r="H97" s="71" t="s">
        <v>223</v>
      </c>
      <c r="I97" s="71" t="s">
        <v>223</v>
      </c>
      <c r="J97" s="59">
        <f t="shared" ref="J97:J102" si="13">IF($D$97=0,"",100*$D97/$D$97)</f>
        <v>100</v>
      </c>
      <c r="K97" s="58">
        <f t="shared" si="12"/>
        <v>64.544406130202788</v>
      </c>
    </row>
    <row r="98" spans="2:11" ht="36" customHeight="1" x14ac:dyDescent="0.2">
      <c r="B98" s="135" t="s">
        <v>379</v>
      </c>
      <c r="C98" s="72">
        <f>4089396462.68</f>
        <v>4089396462.6799998</v>
      </c>
      <c r="D98" s="77">
        <f>1792054757.61</f>
        <v>1792054757.6099999</v>
      </c>
      <c r="E98" s="71" t="s">
        <v>223</v>
      </c>
      <c r="F98" s="71" t="s">
        <v>223</v>
      </c>
      <c r="G98" s="71" t="s">
        <v>223</v>
      </c>
      <c r="H98" s="71" t="s">
        <v>223</v>
      </c>
      <c r="I98" s="71" t="s">
        <v>223</v>
      </c>
      <c r="J98" s="79">
        <f t="shared" si="13"/>
        <v>58.588136880217867</v>
      </c>
      <c r="K98" s="80">
        <f t="shared" si="12"/>
        <v>43.821986299552158</v>
      </c>
    </row>
    <row r="99" spans="2:11" ht="13.5" customHeight="1" x14ac:dyDescent="0.2">
      <c r="B99" s="136" t="s">
        <v>342</v>
      </c>
      <c r="C99" s="92">
        <f>120650733.6</f>
        <v>120650733.59999999</v>
      </c>
      <c r="D99" s="92">
        <f>24219524.8</f>
        <v>24219524.800000001</v>
      </c>
      <c r="E99" s="71" t="s">
        <v>223</v>
      </c>
      <c r="F99" s="71" t="s">
        <v>223</v>
      </c>
      <c r="G99" s="71" t="s">
        <v>223</v>
      </c>
      <c r="H99" s="71" t="s">
        <v>223</v>
      </c>
      <c r="I99" s="71" t="s">
        <v>223</v>
      </c>
      <c r="J99" s="93">
        <f t="shared" si="13"/>
        <v>0.7918155559312654</v>
      </c>
      <c r="K99" s="87">
        <f t="shared" si="12"/>
        <v>20.074080013716554</v>
      </c>
    </row>
    <row r="100" spans="2:11" ht="13.5" customHeight="1" x14ac:dyDescent="0.2">
      <c r="B100" s="137" t="s">
        <v>343</v>
      </c>
      <c r="C100" s="92">
        <f>116536111.61</f>
        <v>116536111.61</v>
      </c>
      <c r="D100" s="92">
        <f>90550889.39</f>
        <v>90550889.390000001</v>
      </c>
      <c r="E100" s="71" t="s">
        <v>223</v>
      </c>
      <c r="F100" s="71" t="s">
        <v>223</v>
      </c>
      <c r="G100" s="71" t="s">
        <v>223</v>
      </c>
      <c r="H100" s="71" t="s">
        <v>223</v>
      </c>
      <c r="I100" s="71" t="s">
        <v>223</v>
      </c>
      <c r="J100" s="93">
        <f t="shared" si="13"/>
        <v>2.9604050209281305</v>
      </c>
      <c r="K100" s="87">
        <f t="shared" si="12"/>
        <v>77.701999954347031</v>
      </c>
    </row>
    <row r="101" spans="2:11" ht="13.5" customHeight="1" x14ac:dyDescent="0.2">
      <c r="B101" s="137" t="s">
        <v>440</v>
      </c>
      <c r="C101" s="92">
        <f>533026727.14</f>
        <v>533026727.13999999</v>
      </c>
      <c r="D101" s="92">
        <f>1176127490.86</f>
        <v>1176127490.8599999</v>
      </c>
      <c r="E101" s="71" t="s">
        <v>223</v>
      </c>
      <c r="F101" s="71" t="s">
        <v>223</v>
      </c>
      <c r="G101" s="71" t="s">
        <v>223</v>
      </c>
      <c r="H101" s="71" t="s">
        <v>223</v>
      </c>
      <c r="I101" s="71" t="s">
        <v>223</v>
      </c>
      <c r="J101" s="93">
        <f t="shared" si="13"/>
        <v>38.45145809885399</v>
      </c>
      <c r="K101" s="87">
        <f t="shared" si="12"/>
        <v>220.65075370059049</v>
      </c>
    </row>
    <row r="102" spans="2:11" ht="22.5" x14ac:dyDescent="0.2">
      <c r="B102" s="136" t="s">
        <v>430</v>
      </c>
      <c r="C102" s="92">
        <f>56755616.66</f>
        <v>56755616.659999996</v>
      </c>
      <c r="D102" s="92">
        <f>21486990.76</f>
        <v>21486990.760000002</v>
      </c>
      <c r="E102" s="71" t="s">
        <v>223</v>
      </c>
      <c r="F102" s="71" t="s">
        <v>223</v>
      </c>
      <c r="G102" s="71" t="s">
        <v>223</v>
      </c>
      <c r="H102" s="71" t="s">
        <v>223</v>
      </c>
      <c r="I102" s="71" t="s">
        <v>223</v>
      </c>
      <c r="J102" s="93">
        <f t="shared" si="13"/>
        <v>0.70248007235548093</v>
      </c>
      <c r="K102" s="87">
        <f>IF(C102=0,"",100*D102/C102)</f>
        <v>37.858791824463637</v>
      </c>
    </row>
    <row r="103" spans="2:11" ht="7.5" customHeight="1" x14ac:dyDescent="0.2"/>
    <row r="104" spans="2:11" x14ac:dyDescent="0.2">
      <c r="B104" s="65" t="s">
        <v>55</v>
      </c>
      <c r="C104" s="103" t="s">
        <v>56</v>
      </c>
      <c r="D104" s="22" t="s">
        <v>1</v>
      </c>
    </row>
    <row r="105" spans="2:11" x14ac:dyDescent="0.2">
      <c r="B105" s="65"/>
      <c r="C105" s="150" t="s">
        <v>302</v>
      </c>
      <c r="D105" s="165"/>
    </row>
    <row r="106" spans="2:11" x14ac:dyDescent="0.2">
      <c r="B106" s="64">
        <v>1</v>
      </c>
      <c r="C106" s="70">
        <v>2</v>
      </c>
      <c r="D106" s="49">
        <v>3</v>
      </c>
    </row>
    <row r="107" spans="2:11" ht="37.5" customHeight="1" x14ac:dyDescent="0.2">
      <c r="B107" s="138" t="s">
        <v>439</v>
      </c>
      <c r="C107" s="76">
        <f>26852141247.74</f>
        <v>26852141247.740002</v>
      </c>
      <c r="D107" s="40">
        <f>0</f>
        <v>0</v>
      </c>
    </row>
    <row r="108" spans="2:11" ht="36" customHeight="1" x14ac:dyDescent="0.2">
      <c r="B108" s="139" t="s">
        <v>316</v>
      </c>
      <c r="C108" s="77">
        <f>507448309.42</f>
        <v>507448309.42000002</v>
      </c>
      <c r="D108" s="111">
        <f>0</f>
        <v>0</v>
      </c>
    </row>
    <row r="109" spans="2:11" ht="13.5" customHeight="1" x14ac:dyDescent="0.2">
      <c r="B109" s="139" t="s">
        <v>317</v>
      </c>
      <c r="C109" s="77">
        <f>9702103350.68</f>
        <v>9702103350.6800003</v>
      </c>
      <c r="D109" s="111">
        <f>0</f>
        <v>0</v>
      </c>
    </row>
    <row r="110" spans="2:11" ht="25.5" customHeight="1" x14ac:dyDescent="0.2">
      <c r="B110" s="139" t="s">
        <v>318</v>
      </c>
      <c r="C110" s="77">
        <f>0</f>
        <v>0</v>
      </c>
      <c r="D110" s="111">
        <f>0</f>
        <v>0</v>
      </c>
    </row>
    <row r="111" spans="2:11" ht="57.95" customHeight="1" x14ac:dyDescent="0.2">
      <c r="B111" s="139" t="s">
        <v>375</v>
      </c>
      <c r="C111" s="77">
        <f>4442307371.72</f>
        <v>4442307371.7200003</v>
      </c>
      <c r="D111" s="111">
        <f>0</f>
        <v>0</v>
      </c>
    </row>
    <row r="112" spans="2:11" ht="81.95" customHeight="1" x14ac:dyDescent="0.2">
      <c r="B112" s="139" t="s">
        <v>319</v>
      </c>
      <c r="C112" s="77">
        <f>8219640150.99</f>
        <v>8219640150.9899998</v>
      </c>
      <c r="D112" s="111">
        <f>0</f>
        <v>0</v>
      </c>
    </row>
    <row r="113" spans="2:4" ht="150.94999999999999" customHeight="1" x14ac:dyDescent="0.2">
      <c r="B113" s="134" t="s">
        <v>380</v>
      </c>
      <c r="C113" s="77">
        <f>3500242924.16</f>
        <v>3500242924.1599998</v>
      </c>
      <c r="D113" s="111">
        <f>0</f>
        <v>0</v>
      </c>
    </row>
    <row r="114" spans="2:4" ht="22.5" x14ac:dyDescent="0.2">
      <c r="B114" s="134" t="s">
        <v>372</v>
      </c>
      <c r="C114" s="77">
        <f>82474920.7</f>
        <v>82474920.700000003</v>
      </c>
      <c r="D114" s="111">
        <f>0</f>
        <v>0</v>
      </c>
    </row>
    <row r="115" spans="2:4" ht="22.5" x14ac:dyDescent="0.2">
      <c r="B115" s="134" t="s">
        <v>427</v>
      </c>
      <c r="C115" s="77">
        <f>397924220.07</f>
        <v>397924220.06999999</v>
      </c>
      <c r="D115" s="111">
        <f>0</f>
        <v>0</v>
      </c>
    </row>
    <row r="116" spans="2:4" ht="28.5" customHeight="1" x14ac:dyDescent="0.2"/>
    <row r="117" spans="2:4" x14ac:dyDescent="0.2">
      <c r="B117" s="95" t="s">
        <v>231</v>
      </c>
      <c r="C117" s="54">
        <f>2</f>
        <v>2</v>
      </c>
      <c r="D117" s="54" t="str">
        <f>IF(C117=1,"I Kwartał",IF(C117=2,"II Kwartały",IF(C117=3,"III Kwartały",IF(C117=4,"IV Kwartały",IF(C117="M1","Styczeń",IF(C117="M11","Listopad",IF(C117="M12","Grudzień","-")))))))</f>
        <v>II Kwartały</v>
      </c>
    </row>
    <row r="118" spans="2:4" x14ac:dyDescent="0.2">
      <c r="B118" s="95" t="s">
        <v>232</v>
      </c>
      <c r="C118" s="129">
        <f>2023</f>
        <v>2023</v>
      </c>
    </row>
    <row r="119" spans="2:4" x14ac:dyDescent="0.2">
      <c r="B119" s="95" t="s">
        <v>233</v>
      </c>
      <c r="C119" s="146" t="str">
        <f>"Aug 14 2023 12:00AM"</f>
        <v>Aug 14 2023 12:00AM</v>
      </c>
      <c r="D119" s="147"/>
    </row>
    <row r="120" spans="2:4" hidden="1" x14ac:dyDescent="0.2">
      <c r="B120" s="1" t="s">
        <v>410</v>
      </c>
      <c r="C120" s="1" t="str">
        <f>""</f>
        <v/>
      </c>
    </row>
  </sheetData>
  <mergeCells count="20">
    <mergeCell ref="B3:B4"/>
    <mergeCell ref="C105:D105"/>
    <mergeCell ref="B59:B62"/>
    <mergeCell ref="C84:D84"/>
    <mergeCell ref="J4:L4"/>
    <mergeCell ref="I59:I61"/>
    <mergeCell ref="J62:K62"/>
    <mergeCell ref="C4:I4"/>
    <mergeCell ref="J84:K84"/>
    <mergeCell ref="J59:J61"/>
    <mergeCell ref="K59:K61"/>
    <mergeCell ref="C119:D119"/>
    <mergeCell ref="D59:D61"/>
    <mergeCell ref="E59:E61"/>
    <mergeCell ref="F60:F61"/>
    <mergeCell ref="F59:H59"/>
    <mergeCell ref="G60:H60"/>
    <mergeCell ref="E83:I85"/>
    <mergeCell ref="C59:C61"/>
    <mergeCell ref="C62:I62"/>
  </mergeCells>
  <phoneticPr fontId="0" type="noConversion"/>
  <pageMargins left="0.19685039370078741" right="0.19685039370078741" top="0.35433070866141736" bottom="0.39370078740157483" header="0.31496062992125984" footer="0.19685039370078741"/>
  <pageSetup paperSize="9" scale="95" orientation="landscape" useFirstPageNumber="1" r:id="rId1"/>
  <headerFooter alignWithMargins="0">
    <oddFooter>&amp;RStrona &amp;P z &amp;N</oddFooter>
  </headerFooter>
  <rowBreaks count="4" manualBreakCount="4">
    <brk id="21" max="16383" man="1"/>
    <brk id="56" max="16383" man="1"/>
    <brk id="80" max="16383" man="1"/>
    <brk id="103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AA122"/>
  <sheetViews>
    <sheetView zoomScaleNormal="100" workbookViewId="0">
      <selection activeCell="B3" sqref="B3:B4"/>
    </sheetView>
  </sheetViews>
  <sheetFormatPr defaultRowHeight="12.75" x14ac:dyDescent="0.2"/>
  <cols>
    <col min="1" max="1" width="7.7109375" style="51" bestFit="1" customWidth="1"/>
    <col min="2" max="2" width="22.85546875" style="1" customWidth="1"/>
    <col min="3" max="4" width="13.85546875" style="1" customWidth="1"/>
    <col min="5" max="5" width="27.85546875" style="1" customWidth="1"/>
    <col min="6" max="6" width="13.85546875" style="1" customWidth="1"/>
    <col min="7" max="10" width="13.5703125" style="1" customWidth="1"/>
    <col min="11" max="11" width="7.42578125" style="1" customWidth="1"/>
    <col min="12" max="12" width="7.28515625" style="1" customWidth="1"/>
    <col min="13" max="13" width="8.140625" style="1" customWidth="1"/>
    <col min="14" max="16384" width="9.140625" style="1"/>
  </cols>
  <sheetData>
    <row r="1" spans="1:13" ht="75" customHeight="1" x14ac:dyDescent="0.2">
      <c r="B1" s="200" t="str">
        <f>CONCATENATE("Informacja z wykonania budżetów gmin za ",$D$119," ",$C$120," roku")</f>
        <v>Informacja z wykonania budżetów gmin za II Kwartały 2023 roku</v>
      </c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</row>
    <row r="3" spans="1:13" ht="66.75" customHeight="1" x14ac:dyDescent="0.2">
      <c r="B3" s="164" t="s">
        <v>0</v>
      </c>
      <c r="C3" s="18" t="s">
        <v>185</v>
      </c>
      <c r="D3" s="18" t="s">
        <v>186</v>
      </c>
      <c r="E3" s="18" t="s">
        <v>187</v>
      </c>
      <c r="F3" s="18" t="s">
        <v>188</v>
      </c>
      <c r="G3" s="18" t="s">
        <v>189</v>
      </c>
      <c r="H3" s="18" t="s">
        <v>190</v>
      </c>
      <c r="I3" s="18" t="s">
        <v>191</v>
      </c>
      <c r="J3" s="20" t="s">
        <v>2</v>
      </c>
      <c r="K3" s="18" t="s">
        <v>67</v>
      </c>
      <c r="L3" s="18" t="s">
        <v>3</v>
      </c>
    </row>
    <row r="4" spans="1:13" x14ac:dyDescent="0.2">
      <c r="B4" s="164"/>
      <c r="C4" s="20" t="s">
        <v>204</v>
      </c>
      <c r="D4" s="20" t="s">
        <v>130</v>
      </c>
      <c r="E4" s="20" t="s">
        <v>205</v>
      </c>
      <c r="F4" s="20" t="s">
        <v>206</v>
      </c>
      <c r="G4" s="20" t="s">
        <v>208</v>
      </c>
      <c r="H4" s="20" t="s">
        <v>209</v>
      </c>
      <c r="I4" s="20" t="s">
        <v>207</v>
      </c>
      <c r="J4" s="166" t="s">
        <v>4</v>
      </c>
      <c r="K4" s="166"/>
      <c r="L4" s="166"/>
    </row>
    <row r="5" spans="1:13" x14ac:dyDescent="0.2">
      <c r="B5" s="20">
        <v>1</v>
      </c>
      <c r="C5" s="22">
        <v>2</v>
      </c>
      <c r="D5" s="22">
        <v>3</v>
      </c>
      <c r="E5" s="20">
        <v>5</v>
      </c>
      <c r="F5" s="22">
        <v>6</v>
      </c>
      <c r="G5" s="20">
        <v>7</v>
      </c>
      <c r="H5" s="22">
        <v>8</v>
      </c>
      <c r="I5" s="20">
        <v>9</v>
      </c>
      <c r="J5" s="22">
        <v>10</v>
      </c>
      <c r="K5" s="20">
        <v>11</v>
      </c>
      <c r="L5" s="22">
        <v>12</v>
      </c>
    </row>
    <row r="6" spans="1:13" ht="25.5" customHeight="1" x14ac:dyDescent="0.2">
      <c r="A6" s="51" t="s">
        <v>12</v>
      </c>
      <c r="B6" s="23" t="s">
        <v>5</v>
      </c>
      <c r="C6" s="99" t="s">
        <v>210</v>
      </c>
      <c r="D6" s="99"/>
      <c r="E6" s="99"/>
      <c r="F6" s="99"/>
      <c r="G6" s="99"/>
      <c r="H6" s="99"/>
      <c r="I6" s="99"/>
      <c r="J6" s="47">
        <v>100</v>
      </c>
      <c r="K6" s="47" t="s">
        <v>106</v>
      </c>
      <c r="L6" s="47"/>
    </row>
    <row r="7" spans="1:13" ht="25.5" customHeight="1" x14ac:dyDescent="0.2">
      <c r="A7" s="51" t="s">
        <v>13</v>
      </c>
      <c r="B7" s="24" t="s">
        <v>224</v>
      </c>
      <c r="C7" s="100" t="s">
        <v>409</v>
      </c>
      <c r="D7" s="100"/>
      <c r="E7" s="100"/>
      <c r="F7" s="100"/>
      <c r="G7" s="100"/>
      <c r="H7" s="100"/>
      <c r="I7" s="100"/>
      <c r="J7" s="48" t="s">
        <v>77</v>
      </c>
      <c r="K7" s="48" t="s">
        <v>106</v>
      </c>
      <c r="L7" s="48">
        <v>100</v>
      </c>
    </row>
    <row r="8" spans="1:13" ht="22.5" customHeight="1" x14ac:dyDescent="0.2">
      <c r="A8" s="51" t="s">
        <v>14</v>
      </c>
      <c r="B8" s="25" t="s">
        <v>180</v>
      </c>
      <c r="C8" s="101" t="s">
        <v>246</v>
      </c>
      <c r="D8" s="101"/>
      <c r="E8" s="101"/>
      <c r="F8" s="101"/>
      <c r="G8" s="101"/>
      <c r="H8" s="101"/>
      <c r="I8" s="101"/>
      <c r="J8" s="34" t="s">
        <v>78</v>
      </c>
      <c r="K8" s="34" t="s">
        <v>106</v>
      </c>
      <c r="L8" s="34" t="s">
        <v>107</v>
      </c>
    </row>
    <row r="9" spans="1:13" ht="22.5" customHeight="1" x14ac:dyDescent="0.2">
      <c r="A9" s="51" t="s">
        <v>15</v>
      </c>
      <c r="B9" s="26" t="s">
        <v>70</v>
      </c>
      <c r="C9" s="102" t="s">
        <v>247</v>
      </c>
      <c r="D9" s="102"/>
      <c r="E9" s="102"/>
      <c r="F9" s="102"/>
      <c r="G9" s="102"/>
      <c r="H9" s="102"/>
      <c r="I9" s="102"/>
      <c r="J9" s="33" t="s">
        <v>79</v>
      </c>
      <c r="K9" s="33" t="s">
        <v>106</v>
      </c>
      <c r="L9" s="33" t="s">
        <v>108</v>
      </c>
    </row>
    <row r="10" spans="1:13" ht="13.5" customHeight="1" x14ac:dyDescent="0.2">
      <c r="A10" s="51" t="s">
        <v>16</v>
      </c>
      <c r="B10" s="25" t="s">
        <v>71</v>
      </c>
      <c r="C10" s="101" t="s">
        <v>248</v>
      </c>
      <c r="D10" s="101"/>
      <c r="E10" s="101"/>
      <c r="F10" s="101"/>
      <c r="G10" s="101"/>
      <c r="H10" s="101"/>
      <c r="I10" s="101"/>
      <c r="J10" s="34" t="s">
        <v>80</v>
      </c>
      <c r="K10" s="34" t="s">
        <v>106</v>
      </c>
      <c r="L10" s="34" t="s">
        <v>109</v>
      </c>
    </row>
    <row r="11" spans="1:13" ht="13.5" customHeight="1" x14ac:dyDescent="0.2">
      <c r="A11" s="51" t="s">
        <v>17</v>
      </c>
      <c r="B11" s="26" t="s">
        <v>72</v>
      </c>
      <c r="C11" s="102" t="s">
        <v>249</v>
      </c>
      <c r="D11" s="102"/>
      <c r="E11" s="102"/>
      <c r="F11" s="102"/>
      <c r="G11" s="102"/>
      <c r="H11" s="102"/>
      <c r="I11" s="102"/>
      <c r="J11" s="33" t="s">
        <v>81</v>
      </c>
      <c r="K11" s="33" t="s">
        <v>106</v>
      </c>
      <c r="L11" s="33" t="s">
        <v>110</v>
      </c>
    </row>
    <row r="12" spans="1:13" ht="13.5" customHeight="1" x14ac:dyDescent="0.2">
      <c r="A12" s="51" t="s">
        <v>18</v>
      </c>
      <c r="B12" s="25" t="s">
        <v>73</v>
      </c>
      <c r="C12" s="101" t="s">
        <v>250</v>
      </c>
      <c r="D12" s="101"/>
      <c r="E12" s="101"/>
      <c r="F12" s="101"/>
      <c r="G12" s="101"/>
      <c r="H12" s="101"/>
      <c r="I12" s="101"/>
      <c r="J12" s="34" t="s">
        <v>82</v>
      </c>
      <c r="K12" s="34" t="s">
        <v>106</v>
      </c>
      <c r="L12" s="34" t="s">
        <v>111</v>
      </c>
    </row>
    <row r="13" spans="1:13" ht="22.5" customHeight="1" x14ac:dyDescent="0.2">
      <c r="A13" s="51" t="s">
        <v>19</v>
      </c>
      <c r="B13" s="26" t="s">
        <v>74</v>
      </c>
      <c r="C13" s="102" t="s">
        <v>251</v>
      </c>
      <c r="D13" s="102"/>
      <c r="E13" s="102"/>
      <c r="F13" s="102"/>
      <c r="G13" s="102"/>
      <c r="H13" s="102"/>
      <c r="I13" s="102"/>
      <c r="J13" s="33" t="s">
        <v>83</v>
      </c>
      <c r="K13" s="33" t="s">
        <v>106</v>
      </c>
      <c r="L13" s="33" t="s">
        <v>112</v>
      </c>
    </row>
    <row r="14" spans="1:13" ht="33" customHeight="1" x14ac:dyDescent="0.2">
      <c r="A14" s="51" t="s">
        <v>20</v>
      </c>
      <c r="B14" s="25" t="s">
        <v>193</v>
      </c>
      <c r="C14" s="101" t="s">
        <v>252</v>
      </c>
      <c r="D14" s="101"/>
      <c r="E14" s="101"/>
      <c r="F14" s="101"/>
      <c r="G14" s="101"/>
      <c r="H14" s="101"/>
      <c r="I14" s="101"/>
      <c r="J14" s="34" t="s">
        <v>84</v>
      </c>
      <c r="K14" s="34" t="s">
        <v>106</v>
      </c>
      <c r="L14" s="34" t="s">
        <v>113</v>
      </c>
    </row>
    <row r="15" spans="1:13" ht="22.5" customHeight="1" x14ac:dyDescent="0.2">
      <c r="A15" s="51" t="s">
        <v>21</v>
      </c>
      <c r="B15" s="26" t="s">
        <v>151</v>
      </c>
      <c r="C15" s="102" t="s">
        <v>253</v>
      </c>
      <c r="D15" s="102"/>
      <c r="E15" s="102"/>
      <c r="F15" s="102"/>
      <c r="G15" s="102"/>
      <c r="H15" s="102"/>
      <c r="I15" s="102"/>
      <c r="J15" s="33" t="s">
        <v>85</v>
      </c>
      <c r="K15" s="33" t="s">
        <v>106</v>
      </c>
      <c r="L15" s="33" t="s">
        <v>114</v>
      </c>
    </row>
    <row r="16" spans="1:13" ht="22.5" customHeight="1" x14ac:dyDescent="0.2">
      <c r="A16" s="51" t="s">
        <v>22</v>
      </c>
      <c r="B16" s="25" t="s">
        <v>152</v>
      </c>
      <c r="C16" s="101" t="s">
        <v>254</v>
      </c>
      <c r="D16" s="101"/>
      <c r="E16" s="101"/>
      <c r="F16" s="101"/>
      <c r="G16" s="101"/>
      <c r="H16" s="101"/>
      <c r="I16" s="101"/>
      <c r="J16" s="34" t="s">
        <v>86</v>
      </c>
      <c r="K16" s="34" t="s">
        <v>106</v>
      </c>
      <c r="L16" s="34" t="s">
        <v>115</v>
      </c>
    </row>
    <row r="17" spans="1:12" ht="13.5" customHeight="1" x14ac:dyDescent="0.2">
      <c r="A17" s="51" t="s">
        <v>23</v>
      </c>
      <c r="B17" s="26" t="s">
        <v>153</v>
      </c>
      <c r="C17" s="102" t="s">
        <v>255</v>
      </c>
      <c r="D17" s="102"/>
      <c r="E17" s="102"/>
      <c r="F17" s="102"/>
      <c r="G17" s="102"/>
      <c r="H17" s="102"/>
      <c r="I17" s="102"/>
      <c r="J17" s="33" t="s">
        <v>87</v>
      </c>
      <c r="K17" s="33" t="s">
        <v>106</v>
      </c>
      <c r="L17" s="33" t="s">
        <v>116</v>
      </c>
    </row>
    <row r="18" spans="1:12" ht="22.5" customHeight="1" x14ac:dyDescent="0.2">
      <c r="A18" s="51" t="s">
        <v>24</v>
      </c>
      <c r="B18" s="25" t="s">
        <v>154</v>
      </c>
      <c r="C18" s="101" t="s">
        <v>256</v>
      </c>
      <c r="D18" s="101"/>
      <c r="E18" s="101"/>
      <c r="F18" s="101"/>
      <c r="G18" s="101"/>
      <c r="H18" s="101"/>
      <c r="I18" s="101"/>
      <c r="J18" s="34" t="s">
        <v>88</v>
      </c>
      <c r="K18" s="34" t="s">
        <v>106</v>
      </c>
      <c r="L18" s="34" t="s">
        <v>117</v>
      </c>
    </row>
    <row r="19" spans="1:12" ht="13.5" customHeight="1" x14ac:dyDescent="0.2">
      <c r="A19" s="51" t="s">
        <v>25</v>
      </c>
      <c r="B19" s="26" t="s">
        <v>155</v>
      </c>
      <c r="C19" s="102" t="s">
        <v>257</v>
      </c>
      <c r="D19" s="102"/>
      <c r="E19" s="102"/>
      <c r="F19" s="102"/>
      <c r="G19" s="102"/>
      <c r="H19" s="102"/>
      <c r="I19" s="102"/>
      <c r="J19" s="33" t="s">
        <v>89</v>
      </c>
      <c r="K19" s="33" t="s">
        <v>106</v>
      </c>
      <c r="L19" s="33" t="s">
        <v>118</v>
      </c>
    </row>
    <row r="20" spans="1:12" ht="13.5" customHeight="1" x14ac:dyDescent="0.2">
      <c r="A20" s="51" t="s">
        <v>26</v>
      </c>
      <c r="B20" s="25" t="s">
        <v>75</v>
      </c>
      <c r="C20" s="101" t="s">
        <v>336</v>
      </c>
      <c r="D20" s="101"/>
      <c r="E20" s="101"/>
      <c r="F20" s="101"/>
      <c r="G20" s="101"/>
      <c r="H20" s="101"/>
      <c r="I20" s="101"/>
      <c r="J20" s="34" t="s">
        <v>90</v>
      </c>
      <c r="K20" s="34" t="s">
        <v>106</v>
      </c>
      <c r="L20" s="34" t="s">
        <v>119</v>
      </c>
    </row>
    <row r="21" spans="1:12" ht="13.5" customHeight="1" x14ac:dyDescent="0.2">
      <c r="A21" s="51" t="s">
        <v>27</v>
      </c>
      <c r="B21" s="26" t="s">
        <v>76</v>
      </c>
      <c r="C21" s="102" t="s">
        <v>159</v>
      </c>
      <c r="D21" s="102"/>
      <c r="E21" s="102"/>
      <c r="F21" s="102"/>
      <c r="G21" s="102"/>
      <c r="H21" s="102"/>
      <c r="I21" s="102"/>
      <c r="J21" s="33" t="s">
        <v>91</v>
      </c>
      <c r="K21" s="33" t="s">
        <v>106</v>
      </c>
      <c r="L21" s="33" t="s">
        <v>158</v>
      </c>
    </row>
    <row r="22" spans="1:12" ht="28.5" customHeight="1" x14ac:dyDescent="0.2">
      <c r="A22" s="51" t="s">
        <v>28</v>
      </c>
      <c r="B22" s="23" t="s">
        <v>279</v>
      </c>
      <c r="C22" s="197" t="s">
        <v>365</v>
      </c>
      <c r="D22" s="197"/>
      <c r="E22" s="197"/>
      <c r="F22" s="68"/>
      <c r="G22" s="69"/>
      <c r="H22" s="69"/>
      <c r="I22" s="69"/>
      <c r="J22" s="47" t="s">
        <v>92</v>
      </c>
      <c r="K22" s="47" t="s">
        <v>106</v>
      </c>
      <c r="L22" s="113"/>
    </row>
    <row r="23" spans="1:12" ht="25.5" customHeight="1" x14ac:dyDescent="0.2">
      <c r="A23" s="51" t="s">
        <v>29</v>
      </c>
      <c r="B23" s="23" t="s">
        <v>225</v>
      </c>
      <c r="C23" s="197" t="s">
        <v>408</v>
      </c>
      <c r="D23" s="197"/>
      <c r="E23" s="197"/>
      <c r="F23" s="28"/>
      <c r="G23" s="29"/>
      <c r="H23" s="29"/>
      <c r="I23" s="29"/>
      <c r="J23" s="47" t="s">
        <v>93</v>
      </c>
      <c r="K23" s="47" t="s">
        <v>106</v>
      </c>
      <c r="L23" s="30"/>
    </row>
    <row r="24" spans="1:12" ht="22.5" customHeight="1" x14ac:dyDescent="0.2">
      <c r="A24" s="51" t="s">
        <v>30</v>
      </c>
      <c r="B24" s="26" t="s">
        <v>9</v>
      </c>
      <c r="C24" s="196" t="s">
        <v>402</v>
      </c>
      <c r="D24" s="196"/>
      <c r="E24" s="196"/>
      <c r="F24" s="28"/>
      <c r="G24" s="29"/>
      <c r="H24" s="29"/>
      <c r="I24" s="29"/>
      <c r="J24" s="33" t="s">
        <v>94</v>
      </c>
      <c r="K24" s="33" t="s">
        <v>106</v>
      </c>
      <c r="L24" s="30"/>
    </row>
    <row r="25" spans="1:12" ht="13.5" customHeight="1" x14ac:dyDescent="0.2">
      <c r="A25" s="51" t="s">
        <v>31</v>
      </c>
      <c r="B25" s="50" t="s">
        <v>6</v>
      </c>
      <c r="C25" s="192" t="s">
        <v>403</v>
      </c>
      <c r="D25" s="192"/>
      <c r="E25" s="192"/>
      <c r="F25" s="28"/>
      <c r="G25" s="29"/>
      <c r="H25" s="29"/>
      <c r="I25" s="29"/>
      <c r="J25" s="34" t="s">
        <v>95</v>
      </c>
      <c r="K25" s="34" t="s">
        <v>106</v>
      </c>
      <c r="L25" s="30"/>
    </row>
    <row r="26" spans="1:12" ht="13.5" customHeight="1" x14ac:dyDescent="0.2">
      <c r="A26" s="51" t="s">
        <v>32</v>
      </c>
      <c r="B26" s="26" t="s">
        <v>7</v>
      </c>
      <c r="C26" s="196" t="s">
        <v>404</v>
      </c>
      <c r="D26" s="196"/>
      <c r="E26" s="196"/>
      <c r="F26" s="28"/>
      <c r="G26" s="29"/>
      <c r="H26" s="29"/>
      <c r="I26" s="29"/>
      <c r="J26" s="33" t="s">
        <v>96</v>
      </c>
      <c r="K26" s="33" t="s">
        <v>106</v>
      </c>
      <c r="L26" s="30"/>
    </row>
    <row r="27" spans="1:12" ht="13.5" customHeight="1" x14ac:dyDescent="0.2">
      <c r="A27" s="51" t="s">
        <v>33</v>
      </c>
      <c r="B27" s="50" t="s">
        <v>6</v>
      </c>
      <c r="C27" s="192" t="s">
        <v>405</v>
      </c>
      <c r="D27" s="192"/>
      <c r="E27" s="192"/>
      <c r="F27" s="28"/>
      <c r="G27" s="29"/>
      <c r="H27" s="29"/>
      <c r="I27" s="29"/>
      <c r="J27" s="34" t="s">
        <v>97</v>
      </c>
      <c r="K27" s="34" t="s">
        <v>106</v>
      </c>
      <c r="L27" s="30"/>
    </row>
    <row r="28" spans="1:12" ht="33" customHeight="1" x14ac:dyDescent="0.2">
      <c r="A28" s="51" t="s">
        <v>34</v>
      </c>
      <c r="B28" s="26" t="s">
        <v>10</v>
      </c>
      <c r="C28" s="196" t="s">
        <v>258</v>
      </c>
      <c r="D28" s="196"/>
      <c r="E28" s="196"/>
      <c r="F28" s="28"/>
      <c r="G28" s="29"/>
      <c r="H28" s="29"/>
      <c r="I28" s="29"/>
      <c r="J28" s="66" t="s">
        <v>98</v>
      </c>
      <c r="K28" s="33" t="s">
        <v>106</v>
      </c>
      <c r="L28" s="30"/>
    </row>
    <row r="29" spans="1:12" ht="13.5" customHeight="1" x14ac:dyDescent="0.2">
      <c r="A29" s="51" t="s">
        <v>35</v>
      </c>
      <c r="B29" s="50" t="s">
        <v>6</v>
      </c>
      <c r="C29" s="192" t="s">
        <v>259</v>
      </c>
      <c r="D29" s="192"/>
      <c r="E29" s="192"/>
      <c r="F29" s="28"/>
      <c r="G29" s="29"/>
      <c r="H29" s="29"/>
      <c r="I29" s="29"/>
      <c r="J29" s="34" t="s">
        <v>99</v>
      </c>
      <c r="K29" s="34" t="s">
        <v>106</v>
      </c>
      <c r="L29" s="30"/>
    </row>
    <row r="30" spans="1:12" ht="33" customHeight="1" x14ac:dyDescent="0.2">
      <c r="A30" s="51" t="s">
        <v>36</v>
      </c>
      <c r="B30" s="26" t="s">
        <v>11</v>
      </c>
      <c r="C30" s="196" t="s">
        <v>260</v>
      </c>
      <c r="D30" s="196"/>
      <c r="E30" s="196"/>
      <c r="F30" s="28"/>
      <c r="G30" s="29"/>
      <c r="H30" s="29"/>
      <c r="I30" s="29"/>
      <c r="J30" s="66" t="s">
        <v>100</v>
      </c>
      <c r="K30" s="66" t="s">
        <v>106</v>
      </c>
      <c r="L30" s="30"/>
    </row>
    <row r="31" spans="1:12" ht="13.5" customHeight="1" x14ac:dyDescent="0.2">
      <c r="A31" s="51" t="s">
        <v>37</v>
      </c>
      <c r="B31" s="50" t="s">
        <v>6</v>
      </c>
      <c r="C31" s="192" t="s">
        <v>261</v>
      </c>
      <c r="D31" s="192"/>
      <c r="E31" s="192"/>
      <c r="F31" s="28"/>
      <c r="G31" s="29"/>
      <c r="H31" s="29"/>
      <c r="I31" s="29"/>
      <c r="J31" s="34" t="s">
        <v>101</v>
      </c>
      <c r="K31" s="34" t="s">
        <v>106</v>
      </c>
      <c r="L31" s="30"/>
    </row>
    <row r="32" spans="1:12" ht="45" x14ac:dyDescent="0.2">
      <c r="A32" s="51" t="s">
        <v>38</v>
      </c>
      <c r="B32" s="26" t="s">
        <v>308</v>
      </c>
      <c r="C32" s="196" t="s">
        <v>348</v>
      </c>
      <c r="D32" s="196"/>
      <c r="E32" s="196"/>
      <c r="F32" s="28"/>
      <c r="G32" s="29"/>
      <c r="H32" s="29"/>
      <c r="I32" s="29"/>
      <c r="J32" s="66" t="s">
        <v>102</v>
      </c>
      <c r="K32" s="66" t="s">
        <v>106</v>
      </c>
      <c r="L32" s="30"/>
    </row>
    <row r="33" spans="1:12" x14ac:dyDescent="0.2">
      <c r="A33" s="51" t="s">
        <v>39</v>
      </c>
      <c r="B33" s="50" t="s">
        <v>6</v>
      </c>
      <c r="C33" s="192" t="s">
        <v>303</v>
      </c>
      <c r="D33" s="192"/>
      <c r="E33" s="192"/>
      <c r="F33" s="28"/>
      <c r="G33" s="29"/>
      <c r="H33" s="29"/>
      <c r="I33" s="29"/>
      <c r="J33" s="34" t="s">
        <v>103</v>
      </c>
      <c r="K33" s="34" t="s">
        <v>106</v>
      </c>
      <c r="L33" s="30"/>
    </row>
    <row r="34" spans="1:12" ht="22.5" customHeight="1" x14ac:dyDescent="0.2">
      <c r="A34" s="51" t="s">
        <v>68</v>
      </c>
      <c r="B34" s="26" t="s">
        <v>8</v>
      </c>
      <c r="C34" s="196" t="s">
        <v>262</v>
      </c>
      <c r="D34" s="196"/>
      <c r="E34" s="196"/>
      <c r="F34" s="28"/>
      <c r="G34" s="29"/>
      <c r="H34" s="29"/>
      <c r="I34" s="29"/>
      <c r="J34" s="66" t="s">
        <v>104</v>
      </c>
      <c r="K34" s="33" t="s">
        <v>106</v>
      </c>
      <c r="L34" s="30"/>
    </row>
    <row r="35" spans="1:12" ht="13.5" customHeight="1" x14ac:dyDescent="0.2">
      <c r="A35" s="51" t="s">
        <v>69</v>
      </c>
      <c r="B35" s="50" t="s">
        <v>6</v>
      </c>
      <c r="C35" s="192" t="s">
        <v>263</v>
      </c>
      <c r="D35" s="192"/>
      <c r="E35" s="192"/>
      <c r="F35" s="28"/>
      <c r="G35" s="29"/>
      <c r="H35" s="29"/>
      <c r="I35" s="29"/>
      <c r="J35" s="34" t="s">
        <v>105</v>
      </c>
      <c r="K35" s="34" t="s">
        <v>106</v>
      </c>
      <c r="L35" s="30"/>
    </row>
    <row r="36" spans="1:12" ht="78.75" x14ac:dyDescent="0.2">
      <c r="A36" s="51" t="s">
        <v>156</v>
      </c>
      <c r="B36" s="26" t="s">
        <v>360</v>
      </c>
      <c r="C36" s="204" t="s">
        <v>362</v>
      </c>
      <c r="D36" s="205"/>
      <c r="E36" s="206"/>
      <c r="F36" s="28"/>
      <c r="G36" s="29"/>
      <c r="H36" s="29"/>
      <c r="I36" s="29"/>
      <c r="J36" s="66" t="s">
        <v>157</v>
      </c>
      <c r="K36" s="33" t="s">
        <v>106</v>
      </c>
      <c r="L36" s="30"/>
    </row>
    <row r="37" spans="1:12" ht="13.5" customHeight="1" x14ac:dyDescent="0.2">
      <c r="A37" s="51" t="s">
        <v>161</v>
      </c>
      <c r="B37" s="50" t="s">
        <v>361</v>
      </c>
      <c r="C37" s="186" t="s">
        <v>363</v>
      </c>
      <c r="D37" s="187"/>
      <c r="E37" s="188"/>
      <c r="F37" s="28"/>
      <c r="G37" s="29"/>
      <c r="H37" s="29"/>
      <c r="I37" s="29"/>
      <c r="J37" s="34" t="s">
        <v>163</v>
      </c>
      <c r="K37" s="34" t="s">
        <v>106</v>
      </c>
      <c r="L37" s="30"/>
    </row>
    <row r="38" spans="1:12" ht="56.25" x14ac:dyDescent="0.2">
      <c r="A38" s="51" t="s">
        <v>162</v>
      </c>
      <c r="B38" s="96" t="s">
        <v>353</v>
      </c>
      <c r="C38" s="196" t="s">
        <v>389</v>
      </c>
      <c r="D38" s="196"/>
      <c r="E38" s="196"/>
      <c r="F38" s="97"/>
      <c r="G38" s="98"/>
      <c r="H38" s="98"/>
      <c r="I38" s="98"/>
      <c r="J38" s="66" t="s">
        <v>164</v>
      </c>
      <c r="K38" s="66" t="s">
        <v>106</v>
      </c>
      <c r="L38" s="30"/>
    </row>
    <row r="39" spans="1:12" ht="13.5" customHeight="1" x14ac:dyDescent="0.2">
      <c r="A39" s="51" t="s">
        <v>275</v>
      </c>
      <c r="B39" s="50" t="s">
        <v>6</v>
      </c>
      <c r="C39" s="192" t="s">
        <v>390</v>
      </c>
      <c r="D39" s="192"/>
      <c r="E39" s="192"/>
      <c r="F39" s="28"/>
      <c r="G39" s="29"/>
      <c r="H39" s="29"/>
      <c r="I39" s="29"/>
      <c r="J39" s="34" t="s">
        <v>277</v>
      </c>
      <c r="K39" s="34" t="s">
        <v>106</v>
      </c>
      <c r="L39" s="30"/>
    </row>
    <row r="40" spans="1:12" ht="33.75" x14ac:dyDescent="0.2">
      <c r="A40" s="140" t="s">
        <v>387</v>
      </c>
      <c r="B40" s="96" t="s">
        <v>384</v>
      </c>
      <c r="C40" s="196" t="s">
        <v>385</v>
      </c>
      <c r="D40" s="196"/>
      <c r="E40" s="196"/>
      <c r="F40" s="28"/>
      <c r="G40" s="29"/>
      <c r="H40" s="29"/>
      <c r="I40" s="29"/>
      <c r="J40" s="66" t="s">
        <v>400</v>
      </c>
      <c r="K40" s="66" t="s">
        <v>106</v>
      </c>
      <c r="L40" s="30"/>
    </row>
    <row r="41" spans="1:12" ht="13.5" customHeight="1" x14ac:dyDescent="0.2">
      <c r="A41" s="140" t="s">
        <v>388</v>
      </c>
      <c r="B41" s="50" t="s">
        <v>6</v>
      </c>
      <c r="C41" s="192" t="s">
        <v>386</v>
      </c>
      <c r="D41" s="192"/>
      <c r="E41" s="192"/>
      <c r="F41" s="28"/>
      <c r="G41" s="29"/>
      <c r="H41" s="29"/>
      <c r="I41" s="29"/>
      <c r="J41" s="34" t="s">
        <v>401</v>
      </c>
      <c r="K41" s="34" t="s">
        <v>106</v>
      </c>
      <c r="L41" s="30"/>
    </row>
    <row r="42" spans="1:12" ht="13.5" customHeight="1" x14ac:dyDescent="0.2">
      <c r="A42" s="51" t="s">
        <v>276</v>
      </c>
      <c r="B42" s="67" t="s">
        <v>283</v>
      </c>
      <c r="C42" s="196" t="s">
        <v>273</v>
      </c>
      <c r="D42" s="196"/>
      <c r="E42" s="196"/>
      <c r="F42" s="28"/>
      <c r="G42" s="29"/>
      <c r="H42" s="29"/>
      <c r="I42" s="29"/>
      <c r="J42" s="66" t="s">
        <v>278</v>
      </c>
      <c r="K42" s="66" t="s">
        <v>106</v>
      </c>
      <c r="L42" s="30"/>
    </row>
    <row r="43" spans="1:12" ht="13.5" customHeight="1" x14ac:dyDescent="0.2">
      <c r="A43" s="51" t="s">
        <v>280</v>
      </c>
      <c r="B43" s="50" t="s">
        <v>284</v>
      </c>
      <c r="C43" s="192" t="s">
        <v>274</v>
      </c>
      <c r="D43" s="192"/>
      <c r="E43" s="192"/>
      <c r="F43" s="28"/>
      <c r="G43" s="29"/>
      <c r="H43" s="29"/>
      <c r="I43" s="29"/>
      <c r="J43" s="34" t="s">
        <v>281</v>
      </c>
      <c r="K43" s="34" t="s">
        <v>106</v>
      </c>
      <c r="L43" s="30"/>
    </row>
    <row r="44" spans="1:12" ht="13.5" customHeight="1" x14ac:dyDescent="0.2">
      <c r="A44" s="51" t="s">
        <v>304</v>
      </c>
      <c r="B44" s="67" t="s">
        <v>326</v>
      </c>
      <c r="C44" s="196" t="s">
        <v>327</v>
      </c>
      <c r="D44" s="196"/>
      <c r="E44" s="196"/>
      <c r="F44" s="28"/>
      <c r="G44" s="29"/>
      <c r="H44" s="29"/>
      <c r="I44" s="29"/>
      <c r="J44" s="33" t="s">
        <v>306</v>
      </c>
      <c r="K44" s="34" t="s">
        <v>106</v>
      </c>
      <c r="L44" s="30"/>
    </row>
    <row r="45" spans="1:12" ht="13.5" customHeight="1" x14ac:dyDescent="0.2">
      <c r="A45" s="51" t="s">
        <v>305</v>
      </c>
      <c r="B45" s="50" t="s">
        <v>329</v>
      </c>
      <c r="C45" s="192" t="s">
        <v>328</v>
      </c>
      <c r="D45" s="192"/>
      <c r="E45" s="192"/>
      <c r="F45" s="28"/>
      <c r="G45" s="29"/>
      <c r="H45" s="29"/>
      <c r="I45" s="29"/>
      <c r="J45" s="34" t="s">
        <v>307</v>
      </c>
      <c r="K45" s="34" t="s">
        <v>106</v>
      </c>
      <c r="L45" s="30"/>
    </row>
    <row r="46" spans="1:12" s="6" customFormat="1" ht="25.5" customHeight="1" x14ac:dyDescent="0.2">
      <c r="A46" s="51" t="s">
        <v>330</v>
      </c>
      <c r="B46" s="24" t="s">
        <v>226</v>
      </c>
      <c r="C46" s="199" t="s">
        <v>366</v>
      </c>
      <c r="D46" s="199"/>
      <c r="E46" s="199"/>
      <c r="F46" s="28"/>
      <c r="G46" s="29"/>
      <c r="H46" s="29"/>
      <c r="I46" s="29"/>
      <c r="J46" s="48" t="s">
        <v>332</v>
      </c>
      <c r="K46" s="48" t="s">
        <v>106</v>
      </c>
      <c r="L46" s="31"/>
    </row>
    <row r="47" spans="1:12" ht="22.5" customHeight="1" x14ac:dyDescent="0.2">
      <c r="A47" s="51" t="s">
        <v>331</v>
      </c>
      <c r="B47" s="25" t="s">
        <v>197</v>
      </c>
      <c r="C47" s="193" t="s">
        <v>264</v>
      </c>
      <c r="D47" s="194"/>
      <c r="E47" s="195"/>
      <c r="F47" s="28"/>
      <c r="G47" s="29"/>
      <c r="H47" s="29"/>
      <c r="I47" s="29"/>
      <c r="J47" s="34" t="s">
        <v>333</v>
      </c>
      <c r="K47" s="34" t="s">
        <v>106</v>
      </c>
      <c r="L47" s="30"/>
    </row>
    <row r="48" spans="1:12" ht="22.5" customHeight="1" x14ac:dyDescent="0.2">
      <c r="A48" s="51" t="s">
        <v>354</v>
      </c>
      <c r="B48" s="25" t="s">
        <v>196</v>
      </c>
      <c r="C48" s="193" t="s">
        <v>265</v>
      </c>
      <c r="D48" s="194"/>
      <c r="E48" s="195"/>
      <c r="F48" s="28"/>
      <c r="G48" s="29"/>
      <c r="H48" s="29"/>
      <c r="I48" s="29"/>
      <c r="J48" s="34" t="s">
        <v>356</v>
      </c>
      <c r="K48" s="34" t="s">
        <v>106</v>
      </c>
      <c r="L48" s="30"/>
    </row>
    <row r="49" spans="1:27" ht="22.5" customHeight="1" x14ac:dyDescent="0.2">
      <c r="A49" s="51" t="s">
        <v>355</v>
      </c>
      <c r="B49" s="25" t="s">
        <v>195</v>
      </c>
      <c r="C49" s="193" t="s">
        <v>266</v>
      </c>
      <c r="D49" s="194"/>
      <c r="E49" s="195"/>
      <c r="F49" s="28"/>
      <c r="G49" s="29"/>
      <c r="H49" s="29"/>
      <c r="I49" s="29"/>
      <c r="J49" s="34" t="s">
        <v>357</v>
      </c>
      <c r="K49" s="34" t="s">
        <v>106</v>
      </c>
      <c r="L49" s="30"/>
    </row>
    <row r="50" spans="1:27" ht="22.5" customHeight="1" x14ac:dyDescent="0.2">
      <c r="A50" s="51" t="s">
        <v>364</v>
      </c>
      <c r="B50" s="25" t="s">
        <v>194</v>
      </c>
      <c r="C50" s="193" t="s">
        <v>267</v>
      </c>
      <c r="D50" s="194"/>
      <c r="E50" s="195"/>
      <c r="F50" s="28"/>
      <c r="G50" s="29"/>
      <c r="H50" s="29"/>
      <c r="I50" s="29"/>
      <c r="J50" s="34" t="s">
        <v>373</v>
      </c>
      <c r="K50" s="34" t="s">
        <v>106</v>
      </c>
      <c r="L50" s="30"/>
    </row>
    <row r="51" spans="1:27" ht="22.5" customHeight="1" x14ac:dyDescent="0.2">
      <c r="A51" s="51" t="s">
        <v>367</v>
      </c>
      <c r="B51" s="25" t="s">
        <v>192</v>
      </c>
      <c r="C51" s="193" t="s">
        <v>391</v>
      </c>
      <c r="D51" s="194"/>
      <c r="E51" s="195"/>
      <c r="F51" s="28"/>
      <c r="G51" s="29"/>
      <c r="H51" s="29"/>
      <c r="I51" s="29"/>
      <c r="J51" s="34" t="s">
        <v>374</v>
      </c>
      <c r="K51" s="34" t="s">
        <v>106</v>
      </c>
      <c r="L51" s="30"/>
    </row>
    <row r="52" spans="1:27" s="6" customFormat="1" ht="13.5" customHeight="1" x14ac:dyDescent="0.2">
      <c r="A52" s="52"/>
      <c r="B52" s="27"/>
      <c r="C52" s="8"/>
      <c r="D52" s="9"/>
      <c r="E52" s="9"/>
      <c r="F52" s="19"/>
      <c r="G52" s="19"/>
      <c r="H52" s="19"/>
      <c r="I52" s="19"/>
      <c r="J52" s="19"/>
      <c r="K52" s="10"/>
      <c r="L52" s="10"/>
      <c r="M52" s="4"/>
    </row>
    <row r="53" spans="1:27" s="6" customFormat="1" ht="13.5" customHeight="1" x14ac:dyDescent="0.2">
      <c r="A53" s="52" t="s">
        <v>12</v>
      </c>
      <c r="B53" s="23" t="s">
        <v>5</v>
      </c>
      <c r="C53" s="197" t="s">
        <v>210</v>
      </c>
      <c r="D53" s="197"/>
      <c r="E53" s="197"/>
      <c r="F53" s="197"/>
      <c r="G53" s="197"/>
      <c r="H53" s="197"/>
      <c r="I53" s="197"/>
      <c r="J53" s="197"/>
      <c r="K53" s="47">
        <v>100</v>
      </c>
      <c r="L53" s="47" t="s">
        <v>106</v>
      </c>
      <c r="M53" s="48">
        <v>100</v>
      </c>
    </row>
    <row r="54" spans="1:27" s="6" customFormat="1" ht="38.25" customHeight="1" x14ac:dyDescent="0.2">
      <c r="A54" s="52" t="s">
        <v>291</v>
      </c>
      <c r="B54" s="23" t="s">
        <v>286</v>
      </c>
      <c r="C54" s="207" t="s">
        <v>392</v>
      </c>
      <c r="D54" s="208"/>
      <c r="E54" s="208"/>
      <c r="F54" s="208"/>
      <c r="G54" s="208"/>
      <c r="H54" s="208"/>
      <c r="I54" s="208"/>
      <c r="J54" s="209"/>
      <c r="K54" s="47">
        <v>100</v>
      </c>
      <c r="L54" s="47" t="s">
        <v>106</v>
      </c>
      <c r="M54" s="61" t="s">
        <v>300</v>
      </c>
    </row>
    <row r="55" spans="1:27" s="6" customFormat="1" ht="13.5" customHeight="1" x14ac:dyDescent="0.2">
      <c r="A55" s="52" t="s">
        <v>292</v>
      </c>
      <c r="B55" s="23" t="s">
        <v>287</v>
      </c>
      <c r="C55" s="197" t="s">
        <v>293</v>
      </c>
      <c r="D55" s="197"/>
      <c r="E55" s="197"/>
      <c r="F55" s="197"/>
      <c r="G55" s="197"/>
      <c r="H55" s="197"/>
      <c r="I55" s="197"/>
      <c r="J55" s="197"/>
      <c r="K55" s="47">
        <v>100</v>
      </c>
      <c r="L55" s="47" t="s">
        <v>106</v>
      </c>
      <c r="M55" s="61" t="s">
        <v>301</v>
      </c>
    </row>
    <row r="56" spans="1:27" s="6" customFormat="1" ht="13.5" customHeight="1" x14ac:dyDescent="0.2">
      <c r="A56" s="52"/>
      <c r="B56" s="198" t="s">
        <v>406</v>
      </c>
      <c r="C56" s="198"/>
      <c r="D56" s="198"/>
      <c r="E56" s="198"/>
      <c r="F56" s="19"/>
      <c r="G56" s="19"/>
      <c r="H56" s="19"/>
      <c r="I56" s="19"/>
      <c r="J56" s="19"/>
      <c r="K56" s="10"/>
      <c r="L56" s="10"/>
      <c r="M56" s="4"/>
    </row>
    <row r="57" spans="1:27" s="6" customFormat="1" ht="13.5" customHeight="1" x14ac:dyDescent="0.2">
      <c r="A57" s="52"/>
      <c r="F57" s="19"/>
      <c r="G57" s="19"/>
      <c r="H57" s="19"/>
      <c r="I57" s="19"/>
      <c r="J57" s="19"/>
      <c r="K57" s="10"/>
      <c r="L57" s="10"/>
      <c r="M57" s="4"/>
    </row>
    <row r="58" spans="1:27" s="6" customFormat="1" ht="13.5" customHeight="1" x14ac:dyDescent="0.2">
      <c r="A58" s="52"/>
      <c r="B58" s="27"/>
      <c r="C58" s="8"/>
      <c r="D58" s="9"/>
      <c r="E58" s="9"/>
      <c r="F58" s="19"/>
      <c r="G58" s="19"/>
      <c r="H58" s="19"/>
      <c r="I58" s="19"/>
      <c r="J58" s="19"/>
      <c r="K58" s="10"/>
      <c r="L58" s="10"/>
      <c r="M58" s="4"/>
    </row>
    <row r="59" spans="1:27" s="6" customFormat="1" ht="47.25" customHeight="1" x14ac:dyDescent="0.2">
      <c r="A59" s="52"/>
      <c r="B59" s="200" t="str">
        <f>CONCATENATE("Informacja z wykonania budżetów gmin za ",$D$119," ",$C$120," roku")</f>
        <v>Informacja z wykonania budżetów gmin za II Kwartały 2023 roku</v>
      </c>
      <c r="C59" s="200"/>
      <c r="D59" s="200"/>
      <c r="E59" s="200"/>
      <c r="F59" s="200"/>
      <c r="G59" s="200"/>
      <c r="H59" s="200"/>
      <c r="I59" s="200"/>
      <c r="J59" s="200"/>
      <c r="K59" s="200"/>
      <c r="L59" s="200"/>
      <c r="M59" s="200"/>
    </row>
    <row r="60" spans="1:27" s="6" customFormat="1" ht="13.5" customHeight="1" x14ac:dyDescent="0.2">
      <c r="A60" s="52"/>
      <c r="B60" s="27"/>
      <c r="C60" s="8"/>
      <c r="D60" s="9"/>
      <c r="E60" s="9"/>
      <c r="F60" s="19"/>
      <c r="G60" s="19"/>
      <c r="H60" s="19"/>
      <c r="I60" s="19"/>
      <c r="J60" s="19"/>
      <c r="K60" s="10"/>
      <c r="L60" s="10"/>
      <c r="M60" s="4"/>
    </row>
    <row r="61" spans="1:27" ht="29.25" customHeight="1" x14ac:dyDescent="0.2">
      <c r="B61" s="164" t="s">
        <v>0</v>
      </c>
      <c r="C61" s="148" t="s">
        <v>181</v>
      </c>
      <c r="D61" s="148" t="s">
        <v>183</v>
      </c>
      <c r="E61" s="148" t="s">
        <v>182</v>
      </c>
      <c r="F61" s="148" t="s">
        <v>40</v>
      </c>
      <c r="G61" s="148"/>
      <c r="H61" s="148"/>
      <c r="I61" s="148" t="s">
        <v>335</v>
      </c>
      <c r="J61" s="148"/>
      <c r="K61" s="148" t="s">
        <v>2</v>
      </c>
      <c r="L61" s="145" t="s">
        <v>67</v>
      </c>
      <c r="N61" s="29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 ht="18" customHeight="1" x14ac:dyDescent="0.2">
      <c r="B62" s="164"/>
      <c r="C62" s="148"/>
      <c r="D62" s="148"/>
      <c r="E62" s="149"/>
      <c r="F62" s="150" t="s">
        <v>184</v>
      </c>
      <c r="G62" s="151" t="s">
        <v>179</v>
      </c>
      <c r="H62" s="149"/>
      <c r="I62" s="148"/>
      <c r="J62" s="148"/>
      <c r="K62" s="148"/>
      <c r="L62" s="145"/>
      <c r="M62" s="12"/>
      <c r="N62" s="29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spans="1:27" ht="36" customHeight="1" x14ac:dyDescent="0.2">
      <c r="B63" s="164"/>
      <c r="C63" s="148"/>
      <c r="D63" s="148"/>
      <c r="E63" s="149"/>
      <c r="F63" s="149"/>
      <c r="G63" s="21" t="s">
        <v>201</v>
      </c>
      <c r="H63" s="21" t="s">
        <v>202</v>
      </c>
      <c r="I63" s="148"/>
      <c r="J63" s="148"/>
      <c r="K63" s="148"/>
      <c r="L63" s="145"/>
      <c r="M63" s="12"/>
      <c r="N63" s="29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spans="1:27" ht="13.5" customHeight="1" x14ac:dyDescent="0.2">
      <c r="B64" s="164"/>
      <c r="C64" s="20" t="s">
        <v>204</v>
      </c>
      <c r="D64" s="20" t="s">
        <v>212</v>
      </c>
      <c r="E64" s="20" t="s">
        <v>211</v>
      </c>
      <c r="F64" s="20" t="s">
        <v>213</v>
      </c>
      <c r="G64" s="20" t="s">
        <v>214</v>
      </c>
      <c r="H64" s="20" t="s">
        <v>215</v>
      </c>
      <c r="I64" s="161" t="s">
        <v>216</v>
      </c>
      <c r="J64" s="163"/>
      <c r="K64" s="166" t="s">
        <v>4</v>
      </c>
      <c r="L64" s="166"/>
      <c r="N64" s="105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ht="11.25" customHeight="1" x14ac:dyDescent="0.2">
      <c r="B65" s="20">
        <v>1</v>
      </c>
      <c r="C65" s="22">
        <v>2</v>
      </c>
      <c r="D65" s="22">
        <v>3</v>
      </c>
      <c r="E65" s="22">
        <v>4</v>
      </c>
      <c r="F65" s="20">
        <v>5</v>
      </c>
      <c r="G65" s="20">
        <v>6</v>
      </c>
      <c r="H65" s="22">
        <v>7</v>
      </c>
      <c r="I65" s="149">
        <v>8</v>
      </c>
      <c r="J65" s="149"/>
      <c r="K65" s="20">
        <v>9</v>
      </c>
      <c r="L65" s="22">
        <v>10</v>
      </c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 ht="25.5" customHeight="1" x14ac:dyDescent="0.2">
      <c r="A66" s="51" t="s">
        <v>43</v>
      </c>
      <c r="B66" s="23" t="s">
        <v>227</v>
      </c>
      <c r="C66" s="203" t="s">
        <v>203</v>
      </c>
      <c r="D66" s="203"/>
      <c r="E66" s="203"/>
      <c r="F66" s="203"/>
      <c r="G66" s="203"/>
      <c r="H66" s="203"/>
      <c r="I66" s="203"/>
      <c r="J66" s="203"/>
      <c r="K66" s="36">
        <v>100</v>
      </c>
      <c r="L66" s="36" t="s">
        <v>106</v>
      </c>
    </row>
    <row r="67" spans="1:27" ht="42.75" customHeight="1" x14ac:dyDescent="0.2">
      <c r="A67" s="51" t="s">
        <v>44</v>
      </c>
      <c r="B67" s="24" t="s">
        <v>42</v>
      </c>
      <c r="C67" s="202" t="s">
        <v>393</v>
      </c>
      <c r="D67" s="202"/>
      <c r="E67" s="202"/>
      <c r="F67" s="202"/>
      <c r="G67" s="202"/>
      <c r="H67" s="202"/>
      <c r="I67" s="202"/>
      <c r="J67" s="202"/>
      <c r="K67" s="37" t="s">
        <v>120</v>
      </c>
      <c r="L67" s="37" t="s">
        <v>106</v>
      </c>
    </row>
    <row r="68" spans="1:27" ht="22.5" customHeight="1" x14ac:dyDescent="0.2">
      <c r="A68" s="51" t="s">
        <v>45</v>
      </c>
      <c r="B68" s="25" t="s">
        <v>41</v>
      </c>
      <c r="C68" s="192" t="s">
        <v>394</v>
      </c>
      <c r="D68" s="192"/>
      <c r="E68" s="192"/>
      <c r="F68" s="192"/>
      <c r="G68" s="192"/>
      <c r="H68" s="192"/>
      <c r="I68" s="192"/>
      <c r="J68" s="192"/>
      <c r="K68" s="38" t="s">
        <v>121</v>
      </c>
      <c r="L68" s="38" t="s">
        <v>106</v>
      </c>
    </row>
    <row r="69" spans="1:27" ht="25.5" customHeight="1" x14ac:dyDescent="0.2">
      <c r="A69" s="51" t="s">
        <v>46</v>
      </c>
      <c r="B69" s="24" t="s">
        <v>228</v>
      </c>
      <c r="C69" s="202" t="s">
        <v>131</v>
      </c>
      <c r="D69" s="202"/>
      <c r="E69" s="202"/>
      <c r="F69" s="202"/>
      <c r="G69" s="202"/>
      <c r="H69" s="202"/>
      <c r="I69" s="202"/>
      <c r="J69" s="202"/>
      <c r="K69" s="37" t="s">
        <v>122</v>
      </c>
      <c r="L69" s="37" t="s">
        <v>106</v>
      </c>
    </row>
    <row r="70" spans="1:27" ht="22.5" x14ac:dyDescent="0.2">
      <c r="A70" s="51" t="s">
        <v>47</v>
      </c>
      <c r="B70" s="25" t="s">
        <v>376</v>
      </c>
      <c r="C70" s="192" t="s">
        <v>395</v>
      </c>
      <c r="D70" s="192"/>
      <c r="E70" s="192"/>
      <c r="F70" s="192"/>
      <c r="G70" s="192"/>
      <c r="H70" s="192"/>
      <c r="I70" s="192"/>
      <c r="J70" s="192"/>
      <c r="K70" s="38" t="s">
        <v>123</v>
      </c>
      <c r="L70" s="38" t="s">
        <v>106</v>
      </c>
    </row>
    <row r="71" spans="1:27" ht="34.5" customHeight="1" x14ac:dyDescent="0.2">
      <c r="A71" s="51" t="s">
        <v>48</v>
      </c>
      <c r="B71" s="26" t="s">
        <v>200</v>
      </c>
      <c r="C71" s="190" t="s">
        <v>396</v>
      </c>
      <c r="D71" s="190"/>
      <c r="E71" s="190"/>
      <c r="F71" s="190"/>
      <c r="G71" s="190"/>
      <c r="H71" s="190"/>
      <c r="I71" s="190"/>
      <c r="J71" s="190"/>
      <c r="K71" s="40" t="s">
        <v>124</v>
      </c>
      <c r="L71" s="40" t="s">
        <v>106</v>
      </c>
      <c r="N71" s="94"/>
    </row>
    <row r="72" spans="1:27" ht="13.5" customHeight="1" x14ac:dyDescent="0.2">
      <c r="A72" s="51" t="s">
        <v>49</v>
      </c>
      <c r="B72" s="25" t="s">
        <v>199</v>
      </c>
      <c r="C72" s="192" t="s">
        <v>351</v>
      </c>
      <c r="D72" s="192"/>
      <c r="E72" s="192"/>
      <c r="F72" s="192"/>
      <c r="G72" s="192"/>
      <c r="H72" s="192"/>
      <c r="I72" s="192"/>
      <c r="J72" s="192"/>
      <c r="K72" s="38" t="s">
        <v>125</v>
      </c>
      <c r="L72" s="38" t="s">
        <v>106</v>
      </c>
    </row>
    <row r="73" spans="1:27" ht="22.5" customHeight="1" x14ac:dyDescent="0.2">
      <c r="A73" s="51" t="s">
        <v>50</v>
      </c>
      <c r="B73" s="26" t="s">
        <v>268</v>
      </c>
      <c r="C73" s="190" t="s">
        <v>349</v>
      </c>
      <c r="D73" s="190"/>
      <c r="E73" s="190"/>
      <c r="F73" s="190"/>
      <c r="G73" s="190"/>
      <c r="H73" s="190"/>
      <c r="I73" s="190"/>
      <c r="J73" s="190"/>
      <c r="K73" s="40" t="s">
        <v>126</v>
      </c>
      <c r="L73" s="40" t="s">
        <v>106</v>
      </c>
    </row>
    <row r="74" spans="1:27" ht="22.5" customHeight="1" x14ac:dyDescent="0.2">
      <c r="A74" s="51" t="s">
        <v>51</v>
      </c>
      <c r="B74" s="26" t="s">
        <v>282</v>
      </c>
      <c r="C74" s="190" t="s">
        <v>397</v>
      </c>
      <c r="D74" s="190"/>
      <c r="E74" s="190"/>
      <c r="F74" s="190"/>
      <c r="G74" s="190"/>
      <c r="H74" s="190"/>
      <c r="I74" s="190"/>
      <c r="J74" s="190"/>
      <c r="K74" s="40" t="s">
        <v>127</v>
      </c>
      <c r="L74" s="40" t="s">
        <v>106</v>
      </c>
    </row>
    <row r="75" spans="1:27" ht="13.5" customHeight="1" x14ac:dyDescent="0.2">
      <c r="A75" s="51" t="s">
        <v>52</v>
      </c>
      <c r="B75" s="25" t="s">
        <v>198</v>
      </c>
      <c r="C75" s="192" t="s">
        <v>350</v>
      </c>
      <c r="D75" s="192"/>
      <c r="E75" s="192"/>
      <c r="F75" s="192"/>
      <c r="G75" s="192"/>
      <c r="H75" s="192"/>
      <c r="I75" s="192"/>
      <c r="J75" s="192"/>
      <c r="K75" s="38" t="s">
        <v>128</v>
      </c>
      <c r="L75" s="38" t="s">
        <v>106</v>
      </c>
    </row>
    <row r="76" spans="1:27" ht="24" customHeight="1" x14ac:dyDescent="0.2">
      <c r="A76" s="51" t="s">
        <v>53</v>
      </c>
      <c r="B76" s="24" t="s">
        <v>54</v>
      </c>
      <c r="C76" s="202" t="s">
        <v>129</v>
      </c>
      <c r="D76" s="202"/>
      <c r="E76" s="202"/>
      <c r="F76" s="202"/>
      <c r="G76" s="202"/>
      <c r="H76" s="202"/>
      <c r="I76" s="202"/>
      <c r="J76" s="202"/>
      <c r="K76" s="41"/>
      <c r="L76" s="41"/>
      <c r="M76" s="14"/>
    </row>
    <row r="77" spans="1:27" ht="12" customHeight="1" x14ac:dyDescent="0.2">
      <c r="B77" s="15"/>
      <c r="C77" s="16"/>
      <c r="D77" s="16"/>
      <c r="E77" s="16"/>
      <c r="F77" s="2"/>
      <c r="G77" s="2"/>
      <c r="H77" s="2"/>
      <c r="I77" s="2"/>
      <c r="L77" s="11"/>
      <c r="M77" s="11"/>
    </row>
    <row r="78" spans="1:27" ht="12" customHeight="1" x14ac:dyDescent="0.2">
      <c r="B78" s="189" t="s">
        <v>398</v>
      </c>
      <c r="C78" s="189"/>
      <c r="D78" s="189"/>
      <c r="E78" s="189"/>
      <c r="F78" s="189"/>
      <c r="G78" s="2"/>
      <c r="H78" s="2"/>
      <c r="I78" s="2"/>
      <c r="L78" s="11"/>
      <c r="M78" s="11"/>
    </row>
    <row r="79" spans="1:27" ht="12" customHeight="1" x14ac:dyDescent="0.2">
      <c r="A79" s="51" t="s">
        <v>288</v>
      </c>
      <c r="B79" s="62" t="s">
        <v>294</v>
      </c>
      <c r="C79" s="190" t="s">
        <v>352</v>
      </c>
      <c r="D79" s="190"/>
      <c r="E79" s="190"/>
      <c r="F79" s="190"/>
      <c r="G79" s="190"/>
      <c r="H79" s="190"/>
      <c r="I79" s="190"/>
      <c r="J79" s="190"/>
      <c r="K79" s="40">
        <v>100</v>
      </c>
      <c r="L79" s="40" t="s">
        <v>106</v>
      </c>
      <c r="M79" s="11"/>
    </row>
    <row r="80" spans="1:27" ht="22.5" customHeight="1" x14ac:dyDescent="0.2">
      <c r="A80" s="51" t="s">
        <v>295</v>
      </c>
      <c r="B80" s="63" t="s">
        <v>289</v>
      </c>
      <c r="C80" s="190" t="s">
        <v>399</v>
      </c>
      <c r="D80" s="190"/>
      <c r="E80" s="190"/>
      <c r="F80" s="190"/>
      <c r="G80" s="190"/>
      <c r="H80" s="190"/>
      <c r="I80" s="190"/>
      <c r="J80" s="190"/>
      <c r="K80" s="40" t="s">
        <v>298</v>
      </c>
      <c r="L80" s="40" t="s">
        <v>106</v>
      </c>
      <c r="M80" s="11"/>
    </row>
    <row r="81" spans="1:13" x14ac:dyDescent="0.2">
      <c r="A81" s="51" t="s">
        <v>296</v>
      </c>
      <c r="B81" s="141" t="s">
        <v>290</v>
      </c>
      <c r="C81" s="190" t="s">
        <v>297</v>
      </c>
      <c r="D81" s="190"/>
      <c r="E81" s="190"/>
      <c r="F81" s="190"/>
      <c r="G81" s="190"/>
      <c r="H81" s="190"/>
      <c r="I81" s="190"/>
      <c r="J81" s="190"/>
      <c r="K81" s="40" t="s">
        <v>299</v>
      </c>
      <c r="L81" s="40" t="s">
        <v>106</v>
      </c>
    </row>
    <row r="83" spans="1:13" ht="47.25" customHeight="1" x14ac:dyDescent="0.2">
      <c r="B83" s="200" t="str">
        <f>CONCATENATE("Informacja z wykonania budżetów gmin za ",$D$119," ",$C$120," roku")</f>
        <v>Informacja z wykonania budżetów gmin za II Kwartały 2023 roku</v>
      </c>
      <c r="C83" s="200"/>
      <c r="D83" s="200"/>
      <c r="E83" s="200"/>
      <c r="F83" s="200"/>
      <c r="G83" s="200"/>
      <c r="H83" s="200"/>
      <c r="I83" s="200"/>
      <c r="J83" s="200"/>
      <c r="K83" s="200"/>
      <c r="L83" s="200"/>
      <c r="M83" s="200"/>
    </row>
    <row r="85" spans="1:13" ht="18" customHeight="1" x14ac:dyDescent="0.2">
      <c r="B85" s="201" t="s">
        <v>55</v>
      </c>
      <c r="C85" s="201"/>
      <c r="D85" s="149" t="s">
        <v>56</v>
      </c>
      <c r="E85" s="149"/>
      <c r="F85" s="149" t="s">
        <v>1</v>
      </c>
      <c r="G85" s="149"/>
      <c r="H85" s="22" t="s">
        <v>132</v>
      </c>
      <c r="I85" s="22" t="s">
        <v>133</v>
      </c>
    </row>
    <row r="86" spans="1:13" ht="13.5" customHeight="1" x14ac:dyDescent="0.2">
      <c r="B86" s="201"/>
      <c r="C86" s="201"/>
      <c r="D86" s="148" t="s">
        <v>217</v>
      </c>
      <c r="E86" s="148"/>
      <c r="F86" s="148" t="s">
        <v>218</v>
      </c>
      <c r="G86" s="148"/>
      <c r="H86" s="191" t="s">
        <v>4</v>
      </c>
      <c r="I86" s="191"/>
      <c r="J86" s="17"/>
    </row>
    <row r="87" spans="1:13" ht="11.25" customHeight="1" x14ac:dyDescent="0.2">
      <c r="B87" s="213">
        <v>1</v>
      </c>
      <c r="C87" s="148"/>
      <c r="D87" s="214">
        <v>2</v>
      </c>
      <c r="E87" s="214"/>
      <c r="F87" s="214">
        <v>3</v>
      </c>
      <c r="G87" s="214"/>
      <c r="H87" s="49">
        <v>4</v>
      </c>
      <c r="I87" s="49">
        <v>5</v>
      </c>
      <c r="J87" s="11"/>
    </row>
    <row r="88" spans="1:13" ht="25.5" customHeight="1" x14ac:dyDescent="0.2">
      <c r="A88" s="51" t="s">
        <v>57</v>
      </c>
      <c r="B88" s="211" t="s">
        <v>229</v>
      </c>
      <c r="C88" s="212"/>
      <c r="D88" s="217" t="s">
        <v>234</v>
      </c>
      <c r="E88" s="218"/>
      <c r="F88" s="218"/>
      <c r="G88" s="219"/>
      <c r="H88" s="42">
        <f>100</f>
        <v>100</v>
      </c>
      <c r="I88" s="53" t="s">
        <v>134</v>
      </c>
    </row>
    <row r="89" spans="1:13" ht="25.5" customHeight="1" x14ac:dyDescent="0.2">
      <c r="A89" s="51" t="s">
        <v>58</v>
      </c>
      <c r="B89" s="176" t="s">
        <v>337</v>
      </c>
      <c r="C89" s="176"/>
      <c r="D89" s="179" t="s">
        <v>235</v>
      </c>
      <c r="E89" s="180"/>
      <c r="F89" s="180"/>
      <c r="G89" s="181"/>
      <c r="H89" s="43" t="s">
        <v>135</v>
      </c>
      <c r="I89" s="43" t="s">
        <v>136</v>
      </c>
    </row>
    <row r="90" spans="1:13" x14ac:dyDescent="0.2">
      <c r="A90" s="51" t="s">
        <v>165</v>
      </c>
      <c r="B90" s="215" t="s">
        <v>338</v>
      </c>
      <c r="C90" s="215" t="s">
        <v>166</v>
      </c>
      <c r="D90" s="173" t="s">
        <v>236</v>
      </c>
      <c r="E90" s="174"/>
      <c r="F90" s="174"/>
      <c r="G90" s="175"/>
      <c r="H90" s="44" t="s">
        <v>167</v>
      </c>
      <c r="I90" s="44" t="s">
        <v>168</v>
      </c>
    </row>
    <row r="91" spans="1:13" ht="13.5" customHeight="1" x14ac:dyDescent="0.2">
      <c r="A91" s="51" t="s">
        <v>59</v>
      </c>
      <c r="B91" s="216" t="s">
        <v>339</v>
      </c>
      <c r="C91" s="216" t="s">
        <v>169</v>
      </c>
      <c r="D91" s="173" t="s">
        <v>237</v>
      </c>
      <c r="E91" s="174"/>
      <c r="F91" s="174"/>
      <c r="G91" s="175"/>
      <c r="H91" s="44" t="s">
        <v>137</v>
      </c>
      <c r="I91" s="44" t="s">
        <v>138</v>
      </c>
    </row>
    <row r="92" spans="1:13" ht="50.25" customHeight="1" x14ac:dyDescent="0.2">
      <c r="A92" s="51" t="s">
        <v>60</v>
      </c>
      <c r="B92" s="176" t="s">
        <v>428</v>
      </c>
      <c r="C92" s="176" t="s">
        <v>170</v>
      </c>
      <c r="D92" s="179" t="s">
        <v>238</v>
      </c>
      <c r="E92" s="180"/>
      <c r="F92" s="180"/>
      <c r="G92" s="181"/>
      <c r="H92" s="43" t="s">
        <v>139</v>
      </c>
      <c r="I92" s="43" t="s">
        <v>140</v>
      </c>
    </row>
    <row r="93" spans="1:13" ht="39" customHeight="1" x14ac:dyDescent="0.2">
      <c r="A93" s="51" t="s">
        <v>61</v>
      </c>
      <c r="B93" s="176" t="s">
        <v>411</v>
      </c>
      <c r="C93" s="176"/>
      <c r="D93" s="179" t="s">
        <v>239</v>
      </c>
      <c r="E93" s="180"/>
      <c r="F93" s="180"/>
      <c r="G93" s="181"/>
      <c r="H93" s="43" t="s">
        <v>141</v>
      </c>
      <c r="I93" s="43" t="s">
        <v>142</v>
      </c>
    </row>
    <row r="94" spans="1:13" ht="13.5" customHeight="1" x14ac:dyDescent="0.2">
      <c r="A94" s="51" t="s">
        <v>62</v>
      </c>
      <c r="B94" s="176" t="s">
        <v>340</v>
      </c>
      <c r="C94" s="176" t="s">
        <v>171</v>
      </c>
      <c r="D94" s="179" t="s">
        <v>240</v>
      </c>
      <c r="E94" s="180"/>
      <c r="F94" s="180"/>
      <c r="G94" s="181"/>
      <c r="H94" s="43" t="s">
        <v>143</v>
      </c>
      <c r="I94" s="43" t="s">
        <v>144</v>
      </c>
    </row>
    <row r="95" spans="1:13" ht="22.5" customHeight="1" x14ac:dyDescent="0.2">
      <c r="A95" s="51" t="s">
        <v>63</v>
      </c>
      <c r="B95" s="176" t="s">
        <v>424</v>
      </c>
      <c r="C95" s="176" t="s">
        <v>172</v>
      </c>
      <c r="D95" s="179" t="s">
        <v>241</v>
      </c>
      <c r="E95" s="180"/>
      <c r="F95" s="180"/>
      <c r="G95" s="181"/>
      <c r="H95" s="43" t="s">
        <v>145</v>
      </c>
      <c r="I95" s="43" t="s">
        <v>146</v>
      </c>
    </row>
    <row r="96" spans="1:13" ht="48" customHeight="1" x14ac:dyDescent="0.2">
      <c r="A96" s="51" t="s">
        <v>412</v>
      </c>
      <c r="B96" s="176" t="s">
        <v>425</v>
      </c>
      <c r="C96" s="176"/>
      <c r="D96" s="179" t="s">
        <v>415</v>
      </c>
      <c r="E96" s="180"/>
      <c r="F96" s="180"/>
      <c r="G96" s="181"/>
      <c r="H96" s="43" t="s">
        <v>418</v>
      </c>
      <c r="I96" s="43" t="s">
        <v>422</v>
      </c>
    </row>
    <row r="97" spans="1:9" x14ac:dyDescent="0.2">
      <c r="A97" s="51" t="s">
        <v>413</v>
      </c>
      <c r="B97" s="176" t="s">
        <v>426</v>
      </c>
      <c r="C97" s="176"/>
      <c r="D97" s="179" t="s">
        <v>416</v>
      </c>
      <c r="E97" s="180"/>
      <c r="F97" s="180"/>
      <c r="G97" s="181"/>
      <c r="H97" s="43" t="s">
        <v>419</v>
      </c>
      <c r="I97" s="43" t="s">
        <v>423</v>
      </c>
    </row>
    <row r="98" spans="1:9" x14ac:dyDescent="0.2">
      <c r="A98" s="51" t="s">
        <v>414</v>
      </c>
      <c r="B98" s="177" t="s">
        <v>427</v>
      </c>
      <c r="C98" s="178"/>
      <c r="D98" s="179" t="s">
        <v>417</v>
      </c>
      <c r="E98" s="180"/>
      <c r="F98" s="180"/>
      <c r="G98" s="181"/>
      <c r="H98" s="43" t="s">
        <v>420</v>
      </c>
      <c r="I98" s="43" t="s">
        <v>421</v>
      </c>
    </row>
    <row r="99" spans="1:9" ht="25.5" customHeight="1" x14ac:dyDescent="0.2">
      <c r="A99" s="51" t="s">
        <v>64</v>
      </c>
      <c r="B99" s="211" t="s">
        <v>230</v>
      </c>
      <c r="C99" s="212" t="s">
        <v>173</v>
      </c>
      <c r="D99" s="217" t="s">
        <v>242</v>
      </c>
      <c r="E99" s="218"/>
      <c r="F99" s="218"/>
      <c r="G99" s="219"/>
      <c r="H99" s="42">
        <f>100</f>
        <v>100</v>
      </c>
      <c r="I99" s="53" t="s">
        <v>160</v>
      </c>
    </row>
    <row r="100" spans="1:9" ht="23.25" customHeight="1" x14ac:dyDescent="0.2">
      <c r="A100" s="51" t="s">
        <v>65</v>
      </c>
      <c r="B100" s="176" t="s">
        <v>341</v>
      </c>
      <c r="C100" s="176"/>
      <c r="D100" s="179" t="s">
        <v>243</v>
      </c>
      <c r="E100" s="180"/>
      <c r="F100" s="180"/>
      <c r="G100" s="181"/>
      <c r="H100" s="43" t="s">
        <v>147</v>
      </c>
      <c r="I100" s="43" t="s">
        <v>148</v>
      </c>
    </row>
    <row r="101" spans="1:9" ht="13.5" customHeight="1" x14ac:dyDescent="0.2">
      <c r="A101" s="51" t="s">
        <v>174</v>
      </c>
      <c r="B101" s="182" t="s">
        <v>342</v>
      </c>
      <c r="C101" s="182" t="s">
        <v>177</v>
      </c>
      <c r="D101" s="183" t="s">
        <v>244</v>
      </c>
      <c r="E101" s="184"/>
      <c r="F101" s="184"/>
      <c r="G101" s="185"/>
      <c r="H101" s="60" t="s">
        <v>175</v>
      </c>
      <c r="I101" s="60" t="s">
        <v>176</v>
      </c>
    </row>
    <row r="102" spans="1:9" x14ac:dyDescent="0.2">
      <c r="A102" s="51" t="s">
        <v>66</v>
      </c>
      <c r="B102" s="210" t="s">
        <v>343</v>
      </c>
      <c r="C102" s="210"/>
      <c r="D102" s="173" t="s">
        <v>245</v>
      </c>
      <c r="E102" s="174"/>
      <c r="F102" s="174"/>
      <c r="G102" s="175"/>
      <c r="H102" s="44" t="s">
        <v>149</v>
      </c>
      <c r="I102" s="44" t="s">
        <v>150</v>
      </c>
    </row>
    <row r="103" spans="1:9" ht="13.5" customHeight="1" x14ac:dyDescent="0.2">
      <c r="A103" s="51" t="s">
        <v>269</v>
      </c>
      <c r="B103" s="182" t="s">
        <v>440</v>
      </c>
      <c r="C103" s="182" t="s">
        <v>178</v>
      </c>
      <c r="D103" s="183" t="s">
        <v>270</v>
      </c>
      <c r="E103" s="184"/>
      <c r="F103" s="184"/>
      <c r="G103" s="185"/>
      <c r="H103" s="60" t="s">
        <v>272</v>
      </c>
      <c r="I103" s="60" t="s">
        <v>271</v>
      </c>
    </row>
    <row r="104" spans="1:9" x14ac:dyDescent="0.2">
      <c r="A104" s="51" t="s">
        <v>429</v>
      </c>
      <c r="B104" s="182" t="s">
        <v>430</v>
      </c>
      <c r="C104" s="182" t="s">
        <v>178</v>
      </c>
      <c r="D104" s="183" t="s">
        <v>431</v>
      </c>
      <c r="E104" s="184"/>
      <c r="F104" s="184"/>
      <c r="G104" s="185"/>
      <c r="H104" s="60" t="s">
        <v>432</v>
      </c>
      <c r="I104" s="60" t="s">
        <v>433</v>
      </c>
    </row>
    <row r="105" spans="1:9" ht="12" customHeight="1" x14ac:dyDescent="0.2"/>
    <row r="106" spans="1:9" x14ac:dyDescent="0.2">
      <c r="B106" s="201" t="s">
        <v>55</v>
      </c>
      <c r="C106" s="201"/>
      <c r="D106" s="149" t="s">
        <v>56</v>
      </c>
      <c r="E106" s="149"/>
      <c r="F106" s="149" t="s">
        <v>1</v>
      </c>
      <c r="G106" s="149"/>
    </row>
    <row r="107" spans="1:9" ht="12.75" customHeight="1" x14ac:dyDescent="0.2">
      <c r="B107" s="201"/>
      <c r="C107" s="201"/>
      <c r="D107" s="148" t="s">
        <v>217</v>
      </c>
      <c r="E107" s="148"/>
      <c r="F107" s="148" t="s">
        <v>218</v>
      </c>
      <c r="G107" s="148"/>
    </row>
    <row r="108" spans="1:9" ht="12.75" customHeight="1" x14ac:dyDescent="0.2">
      <c r="B108" s="213">
        <v>1</v>
      </c>
      <c r="C108" s="148"/>
      <c r="D108" s="214">
        <v>2</v>
      </c>
      <c r="E108" s="214"/>
      <c r="F108" s="214">
        <v>3</v>
      </c>
      <c r="G108" s="214"/>
    </row>
    <row r="109" spans="1:9" ht="12.75" customHeight="1" x14ac:dyDescent="0.2">
      <c r="A109" s="75" t="s">
        <v>309</v>
      </c>
      <c r="B109" s="222" t="s">
        <v>315</v>
      </c>
      <c r="C109" s="223"/>
      <c r="D109" s="217" t="s">
        <v>321</v>
      </c>
      <c r="E109" s="218"/>
      <c r="F109" s="218"/>
      <c r="G109" s="219"/>
    </row>
    <row r="110" spans="1:9" ht="56.25" customHeight="1" x14ac:dyDescent="0.2">
      <c r="A110" s="75" t="s">
        <v>310</v>
      </c>
      <c r="B110" s="220" t="s">
        <v>316</v>
      </c>
      <c r="C110" s="221"/>
      <c r="D110" s="179" t="s">
        <v>320</v>
      </c>
      <c r="E110" s="180"/>
      <c r="F110" s="180"/>
      <c r="G110" s="181"/>
    </row>
    <row r="111" spans="1:9" ht="12.75" customHeight="1" x14ac:dyDescent="0.2">
      <c r="A111" s="75" t="s">
        <v>311</v>
      </c>
      <c r="B111" s="171" t="s">
        <v>317</v>
      </c>
      <c r="C111" s="172"/>
      <c r="D111" s="173" t="s">
        <v>322</v>
      </c>
      <c r="E111" s="174"/>
      <c r="F111" s="174"/>
      <c r="G111" s="175"/>
    </row>
    <row r="112" spans="1:9" ht="33.75" customHeight="1" x14ac:dyDescent="0.2">
      <c r="A112" s="75" t="s">
        <v>312</v>
      </c>
      <c r="B112" s="171" t="s">
        <v>318</v>
      </c>
      <c r="C112" s="172"/>
      <c r="D112" s="173" t="s">
        <v>323</v>
      </c>
      <c r="E112" s="174"/>
      <c r="F112" s="174"/>
      <c r="G112" s="175"/>
    </row>
    <row r="113" spans="1:7" ht="52.5" customHeight="1" x14ac:dyDescent="0.2">
      <c r="A113" s="75" t="s">
        <v>313</v>
      </c>
      <c r="B113" s="220" t="s">
        <v>436</v>
      </c>
      <c r="C113" s="221"/>
      <c r="D113" s="179" t="s">
        <v>324</v>
      </c>
      <c r="E113" s="180"/>
      <c r="F113" s="180"/>
      <c r="G113" s="181"/>
    </row>
    <row r="114" spans="1:7" ht="65.25" customHeight="1" x14ac:dyDescent="0.2">
      <c r="A114" s="75" t="s">
        <v>314</v>
      </c>
      <c r="B114" s="171" t="s">
        <v>437</v>
      </c>
      <c r="C114" s="172"/>
      <c r="D114" s="173" t="s">
        <v>325</v>
      </c>
      <c r="E114" s="174"/>
      <c r="F114" s="174"/>
      <c r="G114" s="175"/>
    </row>
    <row r="115" spans="1:7" ht="117.75" customHeight="1" x14ac:dyDescent="0.2">
      <c r="A115" s="75" t="s">
        <v>368</v>
      </c>
      <c r="B115" s="171" t="s">
        <v>438</v>
      </c>
      <c r="C115" s="172"/>
      <c r="D115" s="173" t="s">
        <v>370</v>
      </c>
      <c r="E115" s="174"/>
      <c r="F115" s="174"/>
      <c r="G115" s="175"/>
    </row>
    <row r="116" spans="1:7" ht="14.25" customHeight="1" x14ac:dyDescent="0.2">
      <c r="A116" s="75" t="s">
        <v>369</v>
      </c>
      <c r="B116" s="171" t="s">
        <v>372</v>
      </c>
      <c r="C116" s="172"/>
      <c r="D116" s="173" t="s">
        <v>371</v>
      </c>
      <c r="E116" s="174"/>
      <c r="F116" s="174"/>
      <c r="G116" s="175"/>
    </row>
    <row r="117" spans="1:7" x14ac:dyDescent="0.2">
      <c r="A117" s="75" t="s">
        <v>434</v>
      </c>
      <c r="B117" s="171" t="s">
        <v>427</v>
      </c>
      <c r="C117" s="172"/>
      <c r="D117" s="173" t="s">
        <v>435</v>
      </c>
      <c r="E117" s="174"/>
      <c r="F117" s="174"/>
      <c r="G117" s="175"/>
    </row>
    <row r="119" spans="1:7" x14ac:dyDescent="0.2">
      <c r="B119" s="54" t="s">
        <v>231</v>
      </c>
      <c r="C119" s="54">
        <f>2</f>
        <v>2</v>
      </c>
      <c r="D119" s="54" t="str">
        <f>IF(C119=1,"I Kwartał",IF(C119=2,"II Kwartały",IF(C119=3,"III Kwartały",IF(C119=4,"IV Kwartały","-"))))</f>
        <v>II Kwartały</v>
      </c>
    </row>
    <row r="120" spans="1:7" x14ac:dyDescent="0.2">
      <c r="B120" s="54" t="s">
        <v>232</v>
      </c>
      <c r="C120" s="54">
        <f>2023</f>
        <v>2023</v>
      </c>
    </row>
    <row r="121" spans="1:7" x14ac:dyDescent="0.2">
      <c r="B121" s="54" t="s">
        <v>233</v>
      </c>
      <c r="C121" s="55" t="str">
        <f>"Aug 14 2023 12:00AM"</f>
        <v>Aug 14 2023 12:00AM</v>
      </c>
    </row>
    <row r="122" spans="1:7" x14ac:dyDescent="0.2">
      <c r="B122" s="54" t="s">
        <v>285</v>
      </c>
      <c r="C122" s="55" t="str">
        <f>""</f>
        <v/>
      </c>
    </row>
  </sheetData>
  <mergeCells count="136">
    <mergeCell ref="B89:C89"/>
    <mergeCell ref="B113:C113"/>
    <mergeCell ref="D113:G113"/>
    <mergeCell ref="B114:C114"/>
    <mergeCell ref="B109:C109"/>
    <mergeCell ref="D109:G109"/>
    <mergeCell ref="B110:C110"/>
    <mergeCell ref="D110:G110"/>
    <mergeCell ref="B112:C112"/>
    <mergeCell ref="D112:G112"/>
    <mergeCell ref="D114:G114"/>
    <mergeCell ref="D111:G111"/>
    <mergeCell ref="D107:E107"/>
    <mergeCell ref="F107:G107"/>
    <mergeCell ref="B108:C108"/>
    <mergeCell ref="B106:C107"/>
    <mergeCell ref="D106:E106"/>
    <mergeCell ref="F106:G106"/>
    <mergeCell ref="B1:M1"/>
    <mergeCell ref="B3:B4"/>
    <mergeCell ref="J4:L4"/>
    <mergeCell ref="D108:E108"/>
    <mergeCell ref="F108:G108"/>
    <mergeCell ref="C38:E38"/>
    <mergeCell ref="C39:E39"/>
    <mergeCell ref="D96:G96"/>
    <mergeCell ref="B100:C100"/>
    <mergeCell ref="D101:G101"/>
    <mergeCell ref="B90:C90"/>
    <mergeCell ref="D94:G94"/>
    <mergeCell ref="B91:C91"/>
    <mergeCell ref="B88:C88"/>
    <mergeCell ref="B111:C111"/>
    <mergeCell ref="D103:G103"/>
    <mergeCell ref="D90:G90"/>
    <mergeCell ref="D88:G88"/>
    <mergeCell ref="D89:G89"/>
    <mergeCell ref="D99:G99"/>
    <mergeCell ref="B93:C93"/>
    <mergeCell ref="D93:G93"/>
    <mergeCell ref="D95:G95"/>
    <mergeCell ref="B92:C92"/>
    <mergeCell ref="D87:E87"/>
    <mergeCell ref="F87:G87"/>
    <mergeCell ref="D91:G91"/>
    <mergeCell ref="D92:G92"/>
    <mergeCell ref="B95:C95"/>
    <mergeCell ref="B94:C94"/>
    <mergeCell ref="C22:E22"/>
    <mergeCell ref="C23:E23"/>
    <mergeCell ref="B102:C102"/>
    <mergeCell ref="B103:C103"/>
    <mergeCell ref="B99:C99"/>
    <mergeCell ref="B101:C101"/>
    <mergeCell ref="D102:G102"/>
    <mergeCell ref="D100:G100"/>
    <mergeCell ref="B87:C87"/>
    <mergeCell ref="B96:C96"/>
    <mergeCell ref="C24:E24"/>
    <mergeCell ref="G62:H62"/>
    <mergeCell ref="C33:E33"/>
    <mergeCell ref="C29:E29"/>
    <mergeCell ref="C25:E25"/>
    <mergeCell ref="C31:E31"/>
    <mergeCell ref="C54:J54"/>
    <mergeCell ref="C55:J55"/>
    <mergeCell ref="E61:E63"/>
    <mergeCell ref="C28:E28"/>
    <mergeCell ref="C26:E26"/>
    <mergeCell ref="C44:E44"/>
    <mergeCell ref="C45:E45"/>
    <mergeCell ref="C27:E27"/>
    <mergeCell ref="C36:E36"/>
    <mergeCell ref="C30:E30"/>
    <mergeCell ref="C32:E32"/>
    <mergeCell ref="C35:E35"/>
    <mergeCell ref="C42:E42"/>
    <mergeCell ref="C48:E48"/>
    <mergeCell ref="C34:E34"/>
    <mergeCell ref="C47:E47"/>
    <mergeCell ref="K64:L64"/>
    <mergeCell ref="K61:K63"/>
    <mergeCell ref="C61:C63"/>
    <mergeCell ref="L61:L63"/>
    <mergeCell ref="I61:J63"/>
    <mergeCell ref="I64:J64"/>
    <mergeCell ref="F62:F63"/>
    <mergeCell ref="F61:H61"/>
    <mergeCell ref="D61:D63"/>
    <mergeCell ref="C76:J76"/>
    <mergeCell ref="C66:J66"/>
    <mergeCell ref="C72:J72"/>
    <mergeCell ref="C75:J75"/>
    <mergeCell ref="C73:J73"/>
    <mergeCell ref="C68:J68"/>
    <mergeCell ref="C69:J69"/>
    <mergeCell ref="C67:J67"/>
    <mergeCell ref="C71:J71"/>
    <mergeCell ref="C74:J74"/>
    <mergeCell ref="C80:J80"/>
    <mergeCell ref="F86:G86"/>
    <mergeCell ref="C81:J81"/>
    <mergeCell ref="B83:M83"/>
    <mergeCell ref="B85:C86"/>
    <mergeCell ref="D85:E85"/>
    <mergeCell ref="F85:G85"/>
    <mergeCell ref="C51:E51"/>
    <mergeCell ref="C40:E40"/>
    <mergeCell ref="C41:E41"/>
    <mergeCell ref="C53:J53"/>
    <mergeCell ref="B56:E56"/>
    <mergeCell ref="B61:B64"/>
    <mergeCell ref="C46:E46"/>
    <mergeCell ref="C43:E43"/>
    <mergeCell ref="C50:E50"/>
    <mergeCell ref="B59:M59"/>
    <mergeCell ref="D116:G116"/>
    <mergeCell ref="B116:C116"/>
    <mergeCell ref="C37:E37"/>
    <mergeCell ref="B78:F78"/>
    <mergeCell ref="C79:J79"/>
    <mergeCell ref="D86:E86"/>
    <mergeCell ref="H86:I86"/>
    <mergeCell ref="I65:J65"/>
    <mergeCell ref="C70:J70"/>
    <mergeCell ref="C49:E49"/>
    <mergeCell ref="B117:C117"/>
    <mergeCell ref="D117:G117"/>
    <mergeCell ref="B97:C97"/>
    <mergeCell ref="B98:C98"/>
    <mergeCell ref="D97:G97"/>
    <mergeCell ref="D98:G98"/>
    <mergeCell ref="B104:C104"/>
    <mergeCell ref="D104:G104"/>
    <mergeCell ref="B115:C115"/>
    <mergeCell ref="D115:G115"/>
  </mergeCells>
  <phoneticPr fontId="0" type="noConversion"/>
  <pageMargins left="0.18" right="0.18" top="0.55118110236220474" bottom="0.39370078740157483" header="0.31496062992125984" footer="0.19685039370078741"/>
  <pageSetup paperSize="9" scale="83" orientation="landscape" r:id="rId1"/>
  <headerFooter alignWithMargins="0">
    <oddFooter>&amp;L&amp;"Arial CE,Kursywa"&amp;9&amp;D&amp;R&amp;9strona &amp;P z 5</oddFooter>
  </headerFooter>
  <rowBreaks count="4" manualBreakCount="4">
    <brk id="21" max="16383" man="1"/>
    <brk id="57" max="16383" man="1"/>
    <brk id="82" max="16383" man="1"/>
    <brk id="10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doch_wyd</vt:lpstr>
      <vt:lpstr>definicja</vt:lpstr>
      <vt:lpstr>doch_wyd!Obszar_wydruku</vt:lpstr>
    </vt:vector>
  </TitlesOfParts>
  <Company>Min. Fin.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2022-10-25T14:00:45Z</cp:lastPrinted>
  <dcterms:created xsi:type="dcterms:W3CDTF">2001-05-17T08:58:03Z</dcterms:created>
  <dcterms:modified xsi:type="dcterms:W3CDTF">2023-08-14T13:22:57Z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MF\HHCY;Kołacz Bernard</vt:lpwstr>
  </property>
  <property fmtid="{D5CDD505-2E9C-101B-9397-08002B2CF9AE}" pid="4" name="MFClassificationDate">
    <vt:lpwstr>2022-06-01T15:11:49.7443772+02:00</vt:lpwstr>
  </property>
  <property fmtid="{D5CDD505-2E9C-101B-9397-08002B2CF9AE}" pid="5" name="MFClassifiedBySID">
    <vt:lpwstr>MF\S-1-5-21-1525952054-1005573771-2909822258-435687</vt:lpwstr>
  </property>
  <property fmtid="{D5CDD505-2E9C-101B-9397-08002B2CF9AE}" pid="6" name="MFGRNItemId">
    <vt:lpwstr>GRN-a157e64f-b2d8-4344-b63a-be4ab8451fe4</vt:lpwstr>
  </property>
  <property fmtid="{D5CDD505-2E9C-101B-9397-08002B2CF9AE}" pid="7" name="MFHash">
    <vt:lpwstr>lKoZPOlwMDvHqF38lv0pfu8g3MmyOnNc8oYSPpdBgYA=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