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5\III kwartał\2025.11.14 Dane ostateczne\Zbiorówki_2025_k3_2025.11.14\Publikacja\"/>
    </mc:Choice>
  </mc:AlternateContent>
  <xr:revisionPtr revIDLastSave="0" documentId="13_ncr:1_{EF9C27AB-D905-487B-A05B-52BC4682CC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8" i="4" l="1"/>
  <c r="C117" i="4"/>
  <c r="C116" i="4"/>
  <c r="C115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J94" i="4" s="1"/>
  <c r="C94" i="4"/>
  <c r="D93" i="4"/>
  <c r="C93" i="4"/>
  <c r="D92" i="4"/>
  <c r="J92" i="4" s="1"/>
  <c r="C92" i="4"/>
  <c r="K92" i="4" s="1"/>
  <c r="D91" i="4"/>
  <c r="J91" i="4" s="1"/>
  <c r="C91" i="4"/>
  <c r="D90" i="4"/>
  <c r="J90" i="4" s="1"/>
  <c r="C90" i="4"/>
  <c r="K90" i="4" s="1"/>
  <c r="D89" i="4"/>
  <c r="C89" i="4"/>
  <c r="D88" i="4"/>
  <c r="J88" i="4" s="1"/>
  <c r="C88" i="4"/>
  <c r="D87" i="4"/>
  <c r="C87" i="4"/>
  <c r="D86" i="4"/>
  <c r="C86" i="4"/>
  <c r="D85" i="4"/>
  <c r="C85" i="4"/>
  <c r="D84" i="4"/>
  <c r="C84" i="4"/>
  <c r="I77" i="4"/>
  <c r="H77" i="4"/>
  <c r="G77" i="4"/>
  <c r="F77" i="4"/>
  <c r="E77" i="4"/>
  <c r="D77" i="4"/>
  <c r="C77" i="4"/>
  <c r="I76" i="4"/>
  <c r="H76" i="4"/>
  <c r="G76" i="4"/>
  <c r="F76" i="4"/>
  <c r="E76" i="4"/>
  <c r="D76" i="4"/>
  <c r="C76" i="4"/>
  <c r="G72" i="4"/>
  <c r="F72" i="4"/>
  <c r="E72" i="4"/>
  <c r="D72" i="4"/>
  <c r="C72" i="4"/>
  <c r="G71" i="4"/>
  <c r="F71" i="4"/>
  <c r="E71" i="4"/>
  <c r="D71" i="4"/>
  <c r="C71" i="4"/>
  <c r="G67" i="4"/>
  <c r="F67" i="4"/>
  <c r="E67" i="4"/>
  <c r="D67" i="4"/>
  <c r="C67" i="4"/>
  <c r="G66" i="4"/>
  <c r="F66" i="4"/>
  <c r="E66" i="4"/>
  <c r="D66" i="4"/>
  <c r="C66" i="4"/>
  <c r="I58" i="4"/>
  <c r="I59" i="4" s="1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I50" i="4"/>
  <c r="H50" i="4"/>
  <c r="G50" i="4"/>
  <c r="F50" i="4"/>
  <c r="E50" i="4"/>
  <c r="D50" i="4"/>
  <c r="J50" i="4" s="1"/>
  <c r="C50" i="4"/>
  <c r="D40" i="4"/>
  <c r="C40" i="4"/>
  <c r="D38" i="4"/>
  <c r="J38" i="4" s="1"/>
  <c r="C38" i="4"/>
  <c r="D37" i="4"/>
  <c r="C37" i="4"/>
  <c r="K37" i="4" s="1"/>
  <c r="D36" i="4"/>
  <c r="C36" i="4"/>
  <c r="K36" i="4" s="1"/>
  <c r="D35" i="4"/>
  <c r="C35" i="4"/>
  <c r="D34" i="4"/>
  <c r="C34" i="4"/>
  <c r="D33" i="4"/>
  <c r="C33" i="4"/>
  <c r="D32" i="4"/>
  <c r="C32" i="4"/>
  <c r="D31" i="4"/>
  <c r="J31" i="4" s="1"/>
  <c r="C31" i="4"/>
  <c r="D30" i="4"/>
  <c r="J30" i="4" s="1"/>
  <c r="C30" i="4"/>
  <c r="K30" i="4" s="1"/>
  <c r="D29" i="4"/>
  <c r="J29" i="4" s="1"/>
  <c r="C29" i="4"/>
  <c r="D28" i="4"/>
  <c r="K28" i="4" s="1"/>
  <c r="C28" i="4"/>
  <c r="D27" i="4"/>
  <c r="C27" i="4"/>
  <c r="K27" i="4" s="1"/>
  <c r="D26" i="4"/>
  <c r="C26" i="4"/>
  <c r="K26" i="4" s="1"/>
  <c r="D25" i="4"/>
  <c r="J25" i="4" s="1"/>
  <c r="C25" i="4"/>
  <c r="K25" i="4" s="1"/>
  <c r="D24" i="4"/>
  <c r="J24" i="4" s="1"/>
  <c r="C24" i="4"/>
  <c r="D23" i="4"/>
  <c r="C23" i="4"/>
  <c r="D22" i="4"/>
  <c r="J22" i="4" s="1"/>
  <c r="C22" i="4"/>
  <c r="D21" i="4"/>
  <c r="J21" i="4" s="1"/>
  <c r="C21" i="4"/>
  <c r="D20" i="4"/>
  <c r="J20" i="4" s="1"/>
  <c r="C20" i="4"/>
  <c r="D19" i="4"/>
  <c r="C19" i="4"/>
  <c r="K19" i="4" s="1"/>
  <c r="D18" i="4"/>
  <c r="J18" i="4" s="1"/>
  <c r="C18" i="4"/>
  <c r="D17" i="4"/>
  <c r="J17" i="4" s="1"/>
  <c r="C17" i="4"/>
  <c r="D16" i="4"/>
  <c r="C16" i="4"/>
  <c r="D15" i="4"/>
  <c r="J15" i="4" s="1"/>
  <c r="C15" i="4"/>
  <c r="D14" i="4"/>
  <c r="C14" i="4"/>
  <c r="K14" i="4" s="1"/>
  <c r="D13" i="4"/>
  <c r="C13" i="4"/>
  <c r="D9" i="4"/>
  <c r="C9" i="4"/>
  <c r="D8" i="4"/>
  <c r="C8" i="4"/>
  <c r="D7" i="4"/>
  <c r="C7" i="4"/>
  <c r="D5" i="4"/>
  <c r="C5" i="4"/>
  <c r="F78" i="4"/>
  <c r="G78" i="4"/>
  <c r="K98" i="4"/>
  <c r="E53" i="4"/>
  <c r="F53" i="4"/>
  <c r="K16" i="4"/>
  <c r="K34" i="4"/>
  <c r="H78" i="4"/>
  <c r="I78" i="4"/>
  <c r="K35" i="4"/>
  <c r="K77" i="4"/>
  <c r="K7" i="4"/>
  <c r="K55" i="4"/>
  <c r="K84" i="4"/>
  <c r="K58" i="4"/>
  <c r="K95" i="4"/>
  <c r="K8" i="4"/>
  <c r="K52" i="4"/>
  <c r="K85" i="4"/>
  <c r="K96" i="4"/>
  <c r="D115" i="4"/>
  <c r="K56" i="4"/>
  <c r="G53" i="4"/>
  <c r="C60" i="4"/>
  <c r="C39" i="4"/>
  <c r="K5" i="4"/>
  <c r="J33" i="4"/>
  <c r="J14" i="4"/>
  <c r="J19" i="4"/>
  <c r="J32" i="4"/>
  <c r="J23" i="4"/>
  <c r="J27" i="4"/>
  <c r="J13" i="4"/>
  <c r="J7" i="4"/>
  <c r="D39" i="4"/>
  <c r="J39" i="4" s="1"/>
  <c r="J34" i="4"/>
  <c r="J9" i="4"/>
  <c r="J35" i="4"/>
  <c r="J37" i="4"/>
  <c r="J36" i="4"/>
  <c r="J8" i="4"/>
  <c r="J16" i="4"/>
  <c r="J26" i="4"/>
  <c r="J5" i="4"/>
  <c r="K18" i="4"/>
  <c r="J84" i="4"/>
  <c r="J87" i="4"/>
  <c r="J89" i="4"/>
  <c r="J86" i="4"/>
  <c r="J85" i="4"/>
  <c r="J93" i="4"/>
  <c r="K9" i="4"/>
  <c r="C53" i="4"/>
  <c r="C59" i="4" s="1"/>
  <c r="K76" i="4"/>
  <c r="C78" i="4"/>
  <c r="K86" i="4"/>
  <c r="K97" i="4"/>
  <c r="J57" i="4"/>
  <c r="E78" i="4"/>
  <c r="K87" i="4"/>
  <c r="K99" i="4"/>
  <c r="H53" i="4"/>
  <c r="I53" i="4"/>
  <c r="K57" i="4"/>
  <c r="K100" i="4"/>
  <c r="K51" i="4"/>
  <c r="K54" i="4"/>
  <c r="J77" i="4"/>
  <c r="J76" i="4"/>
  <c r="D78" i="4"/>
  <c r="K78" i="4" s="1"/>
  <c r="J78" i="4"/>
  <c r="J95" i="4"/>
  <c r="J99" i="4"/>
  <c r="J98" i="4"/>
  <c r="J96" i="4"/>
  <c r="J97" i="4"/>
  <c r="J100" i="4"/>
  <c r="B79" i="4"/>
  <c r="B43" i="4"/>
  <c r="B1" i="4"/>
  <c r="E59" i="4" l="1"/>
  <c r="D41" i="4"/>
  <c r="J41" i="4" s="1"/>
  <c r="K94" i="4"/>
  <c r="K93" i="4"/>
  <c r="K91" i="4"/>
  <c r="K89" i="4"/>
  <c r="K88" i="4"/>
  <c r="G59" i="4"/>
  <c r="F59" i="4"/>
  <c r="H59" i="4"/>
  <c r="J54" i="4"/>
  <c r="J58" i="4"/>
  <c r="J55" i="4"/>
  <c r="D53" i="4"/>
  <c r="D59" i="4" s="1"/>
  <c r="J59" i="4" s="1"/>
  <c r="J56" i="4"/>
  <c r="J52" i="4"/>
  <c r="K59" i="4"/>
  <c r="J51" i="4"/>
  <c r="K50" i="4"/>
  <c r="D60" i="4"/>
  <c r="K40" i="4"/>
  <c r="C41" i="4"/>
  <c r="C61" i="4" s="1"/>
  <c r="K38" i="4"/>
  <c r="K33" i="4"/>
  <c r="K32" i="4"/>
  <c r="K31" i="4"/>
  <c r="K29" i="4"/>
  <c r="J28" i="4"/>
  <c r="K24" i="4"/>
  <c r="K23" i="4"/>
  <c r="K22" i="4"/>
  <c r="K21" i="4"/>
  <c r="K20" i="4"/>
  <c r="K17" i="4"/>
  <c r="D12" i="4"/>
  <c r="D11" i="4" s="1"/>
  <c r="D6" i="4" s="1"/>
  <c r="L6" i="4" s="1"/>
  <c r="K15" i="4"/>
  <c r="C12" i="4"/>
  <c r="C11" i="4" s="1"/>
  <c r="K13" i="4"/>
  <c r="J40" i="4"/>
  <c r="K39" i="4"/>
  <c r="K41" i="4" l="1"/>
  <c r="J53" i="4"/>
  <c r="K53" i="4"/>
  <c r="D61" i="4"/>
  <c r="J12" i="4"/>
  <c r="J11" i="4"/>
  <c r="K12" i="4"/>
  <c r="L7" i="4"/>
  <c r="L9" i="4"/>
  <c r="D10" i="4"/>
  <c r="L8" i="4"/>
  <c r="J6" i="4"/>
  <c r="K11" i="4"/>
  <c r="C6" i="4"/>
  <c r="L10" i="4" l="1"/>
  <c r="J10" i="4"/>
  <c r="C10" i="4"/>
  <c r="K10" i="4" s="1"/>
  <c r="K6" i="4"/>
</calcChain>
</file>

<file path=xl/sharedStrings.xml><?xml version="1.0" encoding="utf-8"?>
<sst xmlns="http://schemas.openxmlformats.org/spreadsheetml/2006/main" count="416" uniqueCount="112">
  <si>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</si>
  <si>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</si>
  <si>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</si>
  <si>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</si>
  <si>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</si>
  <si>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</si>
  <si>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</si>
  <si>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</si>
  <si>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</si>
  <si>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</si>
  <si>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</si>
  <si>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</si>
  <si>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</si>
  <si>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</si>
  <si>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</si>
  <si>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</si>
  <si>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</si>
  <si>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</si>
  <si>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</si>
  <si>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</si>
  <si>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</si>
  <si>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</si>
  <si>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</si>
  <si>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</si>
  <si>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</si>
  <si>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</si>
  <si>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</si>
  <si>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</si>
  <si>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</si>
  <si>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</si>
  <si>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</si>
  <si>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</si>
  <si>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</si>
  <si>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</si>
  <si>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</si>
  <si>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</si>
  <si>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</si>
  <si>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</si>
  <si>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</si>
  <si>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</si>
  <si>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</si>
  <si>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</si>
  <si>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</si>
  <si>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</si>
  <si>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</si>
  <si>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</si>
  <si>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Dotacje §§ 200 i 620</t>
  </si>
  <si>
    <t>w tym: inwestycyjne § 620</t>
  </si>
  <si>
    <t>tytul</t>
  </si>
  <si>
    <t>majątkowe</t>
  </si>
  <si>
    <t>bieżace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</si>
  <si>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</si>
  <si>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</si>
  <si>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</si>
  <si>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</si>
  <si>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</si>
  <si>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</si>
  <si>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</si>
  <si>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</si>
  <si>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</si>
  <si>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</si>
  <si>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</si>
  <si>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Wydatki Ogółem UE                                         z tego: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</si>
  <si>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</si>
  <si>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</si>
  <si>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</si>
  <si>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</si>
  <si>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</si>
  <si>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</si>
  <si>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</si>
  <si>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</si>
  <si>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</si>
  <si>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</si>
  <si>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</si>
  <si>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</si>
  <si>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</si>
  <si>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</si>
  <si>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</si>
  <si>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</si>
  <si>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</si>
  <si>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t>Dotacje ogółem 
z tego: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</si>
  <si>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</si>
  <si>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</si>
  <si>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</si>
  <si>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</si>
  <si>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</si>
  <si>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 xml:space="preserve">DOCHODY OGÓŁEM 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</si>
  <si>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</si>
  <si>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</si>
  <si>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</si>
  <si>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</si>
  <si>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</si>
  <si>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</si>
  <si>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</si>
  <si>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kredyty, pożyczki, emisja papierów wartościowych 
w tym: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</si>
  <si>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</si>
  <si>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</si>
  <si>
    <t>podatek dochodowy od osób fizycznych</t>
  </si>
  <si>
    <t>podatek dochodowy od osób prawnych</t>
  </si>
  <si>
    <t>Subwencja ogólna, w tym:</t>
  </si>
  <si>
    <t>część rekompensująca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</si>
  <si>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</si>
  <si>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</si>
  <si>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</si>
  <si>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</si>
  <si>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</si>
  <si>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Wynik budżetu</t>
  </si>
  <si>
    <t>zrównoważony</t>
  </si>
  <si>
    <t>Planowany</t>
  </si>
  <si>
    <t>Wykonany</t>
  </si>
  <si>
    <t>Wynik operacyjny (Db-Wb)</t>
  </si>
  <si>
    <t>Dochody bieżące 
minus  wydatki bieżące (Db-Wb)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</si>
</sst>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3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0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4" fillId="0" borderId="0"/>
    <xf numFmtId="0" fontId="34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165" fontId="6" fillId="0" borderId="0" xfId="0" applyNumberFormat="1" applyFont="1"/>
    <xf numFmtId="165" fontId="6" fillId="0" borderId="0" xfId="0" applyNumberFormat="1" applyFont="1" applyFill="1"/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2" fillId="20" borderId="10" xfId="0" applyNumberFormat="1" applyFont="1" applyFill="1" applyBorder="1" applyAlignment="1">
      <alignment horizontal="right" vertical="center"/>
    </xf>
    <xf numFmtId="4" fontId="4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165" fontId="12" fillId="20" borderId="10" xfId="0" applyNumberFormat="1" applyFont="1" applyFill="1" applyBorder="1" applyAlignment="1">
      <alignment horizontal="right" vertical="center"/>
    </xf>
    <xf numFmtId="165" fontId="4" fillId="0" borderId="10" xfId="0" applyNumberFormat="1" applyFont="1" applyFill="1" applyBorder="1" applyAlignment="1">
      <alignment horizontal="right" vertical="center"/>
    </xf>
    <xf numFmtId="165" fontId="11" fillId="20" borderId="10" xfId="0" applyNumberFormat="1" applyFont="1" applyFill="1" applyBorder="1" applyAlignment="1">
      <alignment horizontal="right" vertical="center"/>
    </xf>
    <xf numFmtId="165" fontId="6" fillId="0" borderId="10" xfId="0" applyNumberFormat="1" applyFont="1" applyBorder="1" applyAlignment="1">
      <alignment horizontal="right" vertical="center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5" fontId="11" fillId="20" borderId="10" xfId="28" applyNumberFormat="1" applyFont="1" applyFill="1" applyBorder="1" applyAlignment="1">
      <alignment horizontal="right" vertical="center"/>
    </xf>
    <xf numFmtId="4" fontId="11" fillId="20" borderId="14" xfId="0" applyNumberFormat="1" applyFont="1" applyFill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6" fillId="20" borderId="14" xfId="0" applyNumberFormat="1" applyFont="1" applyFill="1" applyBorder="1" applyAlignment="1">
      <alignment horizontal="right" vertical="center"/>
    </xf>
    <xf numFmtId="4" fontId="6" fillId="21" borderId="14" xfId="0" applyNumberFormat="1" applyFont="1" applyFill="1" applyBorder="1" applyAlignment="1">
      <alignment horizontal="right" vertical="center"/>
    </xf>
    <xf numFmtId="4" fontId="11" fillId="22" borderId="14" xfId="0" applyNumberFormat="1" applyFont="1" applyFill="1" applyBorder="1" applyAlignment="1">
      <alignment horizontal="right" vertical="center"/>
    </xf>
    <xf numFmtId="0" fontId="35" fillId="22" borderId="10" xfId="43" applyFont="1" applyFill="1" applyBorder="1" applyAlignment="1">
      <alignment horizontal="left" vertical="center" wrapText="1"/>
    </xf>
    <xf numFmtId="165" fontId="11" fillId="21" borderId="10" xfId="28" applyNumberFormat="1" applyFont="1" applyFill="1" applyBorder="1" applyAlignment="1">
      <alignment horizontal="right" vertical="center"/>
    </xf>
    <xf numFmtId="165" fontId="11" fillId="21" borderId="10" xfId="0" applyNumberFormat="1" applyFont="1" applyFill="1" applyBorder="1" applyAlignment="1">
      <alignment horizontal="right" vertical="center"/>
    </xf>
    <xf numFmtId="165" fontId="11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 applyBorder="1" applyAlignment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right" vertical="center"/>
    </xf>
    <xf numFmtId="165" fontId="12" fillId="22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165" fontId="4" fillId="22" borderId="1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2"/>
    </xf>
    <xf numFmtId="4" fontId="11" fillId="22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left" vertical="center" wrapText="1" indent="1"/>
    </xf>
    <xf numFmtId="4" fontId="6" fillId="0" borderId="14" xfId="0" applyNumberFormat="1" applyFont="1" applyFill="1" applyBorder="1" applyAlignment="1">
      <alignment horizontal="right" vertical="center"/>
    </xf>
    <xf numFmtId="165" fontId="11" fillId="0" borderId="10" xfId="28" applyNumberFormat="1" applyFont="1" applyFill="1" applyBorder="1" applyAlignment="1">
      <alignment horizontal="right" vertical="center"/>
    </xf>
    <xf numFmtId="165" fontId="11" fillId="0" borderId="10" xfId="0" applyNumberFormat="1" applyFont="1" applyFill="1" applyBorder="1" applyAlignment="1">
      <alignment horizontal="right" vertical="center"/>
    </xf>
    <xf numFmtId="4" fontId="4" fillId="21" borderId="10" xfId="0" applyNumberFormat="1" applyFont="1" applyFill="1" applyBorder="1" applyAlignment="1">
      <alignment horizontal="right" vertical="center"/>
    </xf>
    <xf numFmtId="165" fontId="4" fillId="21" borderId="10" xfId="0" applyNumberFormat="1" applyFont="1" applyFill="1" applyBorder="1" applyAlignment="1">
      <alignment horizontal="right" vertical="center"/>
    </xf>
    <xf numFmtId="4" fontId="4" fillId="0" borderId="14" xfId="0" applyNumberFormat="1" applyFont="1" applyFill="1" applyBorder="1" applyAlignment="1">
      <alignment vertical="center" wrapText="1"/>
    </xf>
    <xf numFmtId="0" fontId="6" fillId="19" borderId="14" xfId="0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vertical="center" wrapText="1"/>
    </xf>
    <xf numFmtId="4" fontId="11" fillId="22" borderId="10" xfId="0" applyNumberFormat="1" applyFont="1" applyFill="1" applyBorder="1" applyAlignment="1">
      <alignment horizontal="right" vertical="center"/>
    </xf>
    <xf numFmtId="4" fontId="11" fillId="22" borderId="10" xfId="0" applyNumberFormat="1" applyFont="1" applyFill="1" applyBorder="1" applyAlignment="1">
      <alignment vertical="center"/>
    </xf>
    <xf numFmtId="4" fontId="4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4" fontId="4" fillId="0" borderId="10" xfId="0" applyNumberFormat="1" applyFont="1" applyFill="1" applyBorder="1" applyAlignment="1">
      <alignment vertical="center" wrapText="1"/>
    </xf>
    <xf numFmtId="4" fontId="4" fillId="0" borderId="10" xfId="0" applyNumberFormat="1" applyFont="1" applyFill="1" applyBorder="1" applyAlignment="1">
      <alignment vertical="center"/>
    </xf>
    <xf numFmtId="4" fontId="4" fillId="0" borderId="16" xfId="0" applyNumberFormat="1" applyFont="1" applyFill="1" applyBorder="1" applyAlignment="1">
      <alignment horizontal="right" vertical="center"/>
    </xf>
    <xf numFmtId="4" fontId="4" fillId="0" borderId="17" xfId="0" applyNumberFormat="1" applyFont="1" applyFill="1" applyBorder="1" applyAlignment="1">
      <alignment vertical="center" wrapText="1"/>
    </xf>
    <xf numFmtId="165" fontId="11" fillId="22" borderId="16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Border="1"/>
    <xf numFmtId="4" fontId="4" fillId="0" borderId="18" xfId="0" applyNumberFormat="1" applyFont="1" applyFill="1" applyBorder="1" applyAlignment="1">
      <alignment horizontal="right" vertical="center" wrapText="1"/>
    </xf>
    <xf numFmtId="4" fontId="4" fillId="0" borderId="17" xfId="0" applyNumberFormat="1" applyFont="1" applyFill="1" applyBorder="1" applyAlignment="1">
      <alignment horizontal="right" vertical="center" wrapText="1"/>
    </xf>
    <xf numFmtId="4" fontId="12" fillId="0" borderId="19" xfId="0" applyNumberFormat="1" applyFont="1" applyFill="1" applyBorder="1" applyAlignment="1">
      <alignment horizontal="right" vertical="center" wrapText="1"/>
    </xf>
    <xf numFmtId="4" fontId="4" fillId="20" borderId="14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0" fontId="6" fillId="19" borderId="14" xfId="0" applyFont="1" applyFill="1" applyBorder="1" applyAlignment="1">
      <alignment horizontal="center"/>
    </xf>
    <xf numFmtId="0" fontId="10" fillId="20" borderId="10" xfId="0" applyFont="1" applyFill="1" applyBorder="1" applyAlignment="1">
      <alignment horizontal="left" vertical="center" wrapText="1"/>
    </xf>
    <xf numFmtId="165" fontId="4" fillId="22" borderId="14" xfId="0" applyNumberFormat="1" applyFont="1" applyFill="1" applyBorder="1" applyAlignment="1">
      <alignment horizontal="right" vertical="center"/>
    </xf>
    <xf numFmtId="165" fontId="4" fillId="0" borderId="14" xfId="0" applyNumberFormat="1" applyFont="1" applyFill="1" applyBorder="1" applyAlignment="1">
      <alignment horizontal="right" vertical="center"/>
    </xf>
    <xf numFmtId="165" fontId="4" fillId="0" borderId="18" xfId="0" applyNumberFormat="1" applyFont="1" applyFill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7" fillId="22" borderId="10" xfId="0" applyFont="1" applyFill="1" applyBorder="1" applyAlignment="1">
      <alignment horizontal="left" vertical="center" wrapText="1" indent="1"/>
    </xf>
    <xf numFmtId="0" fontId="7" fillId="22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10" fillId="0" borderId="10" xfId="0" applyFont="1" applyFill="1" applyBorder="1" applyAlignment="1">
      <alignment horizontal="right" vertical="center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5" fillId="0" borderId="10" xfId="43" applyFont="1" applyFill="1" applyBorder="1" applyAlignment="1">
      <alignment horizontal="left" vertical="center" wrapText="1" indent="1"/>
    </xf>
    <xf numFmtId="4" fontId="11" fillId="20" borderId="14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0" fontId="6" fillId="0" borderId="16" xfId="0" applyFont="1" applyBorder="1"/>
    <xf numFmtId="166" fontId="6" fillId="0" borderId="11" xfId="0" applyNumberFormat="1" applyFont="1" applyBorder="1"/>
    <xf numFmtId="0" fontId="4" fillId="0" borderId="10" xfId="0" applyFont="1" applyFill="1" applyBorder="1" applyAlignment="1">
      <alignment horizontal="left" vertical="center" wrapText="1" indent="4"/>
    </xf>
    <xf numFmtId="0" fontId="4" fillId="21" borderId="10" xfId="0" applyFont="1" applyFill="1" applyBorder="1" applyAlignment="1">
      <alignment horizontal="left" vertical="center" wrapText="1" indent="3"/>
    </xf>
    <xf numFmtId="4" fontId="12" fillId="20" borderId="10" xfId="0" applyNumberFormat="1" applyFont="1" applyFill="1" applyBorder="1" applyAlignment="1">
      <alignment horizontal="right" vertical="center" wrapText="1"/>
    </xf>
    <xf numFmtId="0" fontId="10" fillId="0" borderId="20" xfId="43" applyFont="1" applyFill="1" applyBorder="1" applyAlignment="1">
      <alignment horizontal="left" vertical="center"/>
    </xf>
    <xf numFmtId="0" fontId="7" fillId="22" borderId="10" xfId="0" applyFont="1" applyFill="1" applyBorder="1" applyAlignment="1">
      <alignment horizontal="left" vertical="top" wrapText="1"/>
    </xf>
    <xf numFmtId="4" fontId="12" fillId="0" borderId="0" xfId="0" applyNumberFormat="1" applyFont="1" applyFill="1" applyBorder="1" applyAlignment="1">
      <alignment horizontal="center" vertical="center"/>
    </xf>
    <xf numFmtId="0" fontId="36" fillId="0" borderId="0" xfId="0" applyFont="1"/>
    <xf numFmtId="0" fontId="35" fillId="0" borderId="10" xfId="44" applyFont="1" applyBorder="1" applyAlignment="1">
      <alignment horizontal="left" vertical="center" wrapText="1" indent="1"/>
    </xf>
    <xf numFmtId="0" fontId="11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right" vertical="center" wrapText="1"/>
    </xf>
    <xf numFmtId="3" fontId="30" fillId="0" borderId="10" xfId="0" applyNumberFormat="1" applyFont="1" applyBorder="1" applyAlignment="1">
      <alignment vertical="center" wrapText="1"/>
    </xf>
    <xf numFmtId="167" fontId="30" fillId="0" borderId="10" xfId="0" applyNumberFormat="1" applyFont="1" applyBorder="1" applyAlignment="1">
      <alignment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7" fillId="22" borderId="10" xfId="0" applyFont="1" applyFill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4" fillId="19" borderId="14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 wrapText="1"/>
    </xf>
    <xf numFmtId="0" fontId="6" fillId="19" borderId="21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5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7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4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24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4" fontId="12" fillId="0" borderId="19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19" borderId="12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5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</cellXfs>
  <cellStyles count="5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Dziesiętny 3 3" xfId="31" xr:uid="{00000000-0005-0000-0000-00001E000000}"/>
    <cellStyle name="Dziesiętny 4" xfId="32" xr:uid="{00000000-0005-0000-0000-00001F000000}"/>
    <cellStyle name="Dziesiętny 5" xfId="33" xr:uid="{00000000-0005-0000-0000-000020000000}"/>
    <cellStyle name="Explanatory Text" xfId="34" xr:uid="{00000000-0005-0000-0000-000021000000}"/>
    <cellStyle name="Good" xfId="35" xr:uid="{00000000-0005-0000-0000-000022000000}"/>
    <cellStyle name="Heading 1" xfId="36" xr:uid="{00000000-0005-0000-0000-000023000000}"/>
    <cellStyle name="Heading 2" xfId="37" xr:uid="{00000000-0005-0000-0000-000024000000}"/>
    <cellStyle name="Heading 3" xfId="38" xr:uid="{00000000-0005-0000-0000-000025000000}"/>
    <cellStyle name="Heading 4" xfId="39" xr:uid="{00000000-0005-0000-0000-000026000000}"/>
    <cellStyle name="Input" xfId="40" xr:uid="{00000000-0005-0000-0000-000027000000}"/>
    <cellStyle name="Linked Cell" xfId="41" xr:uid="{00000000-0005-0000-0000-000028000000}"/>
    <cellStyle name="Neutral" xfId="42" xr:uid="{00000000-0005-0000-0000-000029000000}"/>
    <cellStyle name="Normalny" xfId="0" builtinId="0"/>
    <cellStyle name="Normalny 2" xfId="43" xr:uid="{00000000-0005-0000-0000-00002B000000}"/>
    <cellStyle name="Normalny 2 2" xfId="44" xr:uid="{00000000-0005-0000-0000-00002C000000}"/>
    <cellStyle name="Note" xfId="45" xr:uid="{00000000-0005-0000-0000-00002D000000}"/>
    <cellStyle name="Output" xfId="46" xr:uid="{00000000-0005-0000-0000-00002E000000}"/>
    <cellStyle name="Title" xfId="47" xr:uid="{00000000-0005-0000-0000-00002F000000}"/>
    <cellStyle name="Total" xfId="48" xr:uid="{00000000-0005-0000-0000-000030000000}"/>
    <cellStyle name="Warning Text" xfId="49" xr:uid="{00000000-0005-0000-0000-00003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18"/>
  <sheetViews>
    <sheetView tabSelected="1" topLeftCell="B1" zoomScaleNormal="100" workbookViewId="0"/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3" width="14.5703125" style="1" customWidth="1"/>
    <col min="4" max="4" width="15" style="1" customWidth="1"/>
    <col min="5" max="5" width="14.5703125" style="1" customWidth="1" outlineLevel="1"/>
    <col min="6" max="6" width="15" style="1" customWidth="1" outlineLevel="1"/>
    <col min="7" max="9" width="13" style="1" customWidth="1" outlineLevel="1"/>
    <col min="10" max="10" width="7.7109375" style="1" bestFit="1" customWidth="1"/>
    <col min="11" max="11" width="7.5703125" style="1" bestFit="1" customWidth="1"/>
    <col min="12" max="12" width="8.42578125" style="1" customWidth="1"/>
    <col min="13" max="13" width="8.5703125" style="1" customWidth="1"/>
    <col min="14" max="16384" width="9.140625" style="1"/>
  </cols>
  <sheetData>
    <row r="1" spans="2:17" ht="18" customHeight="1" x14ac:dyDescent="0.2">
      <c r="B1" s="99" t="str">
        <f>CONCATENATE("Informacja z wykonania budżetów województw za ",$D$115," ",$C$116," rok    ",$C$118,"")</f>
        <v xml:space="preserve">Informacja z wykonania budżetów województw za III Kwartały 2025 rok    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2:17" ht="60" customHeight="1" x14ac:dyDescent="0.2">
      <c r="B2" s="136" t="s">
        <v>0</v>
      </c>
      <c r="C2" s="13" t="s">
        <v>24</v>
      </c>
      <c r="D2" s="13" t="s">
        <v>25</v>
      </c>
      <c r="E2" s="13" t="s">
        <v>81</v>
      </c>
      <c r="F2" s="13" t="s">
        <v>82</v>
      </c>
      <c r="G2" s="13" t="s">
        <v>83</v>
      </c>
      <c r="H2" s="13" t="s">
        <v>84</v>
      </c>
      <c r="I2" s="13" t="s">
        <v>85</v>
      </c>
      <c r="J2" s="14" t="s">
        <v>2</v>
      </c>
      <c r="K2" s="13" t="s">
        <v>18</v>
      </c>
      <c r="L2" s="13" t="s">
        <v>3</v>
      </c>
    </row>
    <row r="3" spans="2:17" ht="9.75" customHeight="1" x14ac:dyDescent="0.2">
      <c r="B3" s="136"/>
      <c r="C3" s="128" t="s">
        <v>53</v>
      </c>
      <c r="D3" s="129"/>
      <c r="E3" s="140" t="s">
        <v>79</v>
      </c>
      <c r="F3" s="141"/>
      <c r="G3" s="141"/>
      <c r="H3" s="141"/>
      <c r="I3" s="142"/>
      <c r="J3" s="128" t="s">
        <v>4</v>
      </c>
      <c r="K3" s="133"/>
      <c r="L3" s="129"/>
    </row>
    <row r="4" spans="2:17" ht="9" customHeight="1" x14ac:dyDescent="0.2">
      <c r="B4" s="14">
        <v>1</v>
      </c>
      <c r="C4" s="16">
        <v>2</v>
      </c>
      <c r="D4" s="16">
        <v>3</v>
      </c>
      <c r="E4" s="143"/>
      <c r="F4" s="144"/>
      <c r="G4" s="144"/>
      <c r="H4" s="144"/>
      <c r="I4" s="145"/>
      <c r="J4" s="16">
        <v>4</v>
      </c>
      <c r="K4" s="16">
        <v>5</v>
      </c>
      <c r="L4" s="16">
        <v>6</v>
      </c>
    </row>
    <row r="5" spans="2:17" ht="12.95" customHeight="1" x14ac:dyDescent="0.2">
      <c r="B5" s="97" t="s">
        <v>5</v>
      </c>
      <c r="C5" s="55">
        <f>39923168753.97</f>
        <v>39923168753.970001</v>
      </c>
      <c r="D5" s="55">
        <f>28539509184.99</f>
        <v>28539509184.990002</v>
      </c>
      <c r="E5" s="94" t="s">
        <v>79</v>
      </c>
      <c r="F5" s="94" t="s">
        <v>79</v>
      </c>
      <c r="G5" s="94" t="s">
        <v>79</v>
      </c>
      <c r="H5" s="94" t="s">
        <v>79</v>
      </c>
      <c r="I5" s="94" t="s">
        <v>79</v>
      </c>
      <c r="J5" s="56">
        <f t="shared" ref="J5:J38" si="0">IF($D$5=0,"",100*$D5/$D$5)</f>
        <v>100</v>
      </c>
      <c r="K5" s="56">
        <f t="shared" ref="K5:K41" si="1">IF(C5=0,"",100*D5/C5)</f>
        <v>71.486082081478074</v>
      </c>
      <c r="L5" s="56"/>
      <c r="M5" s="34"/>
      <c r="N5" s="34"/>
      <c r="O5" s="34"/>
      <c r="P5" s="34"/>
      <c r="Q5" s="34"/>
    </row>
    <row r="6" spans="2:17" ht="27" customHeight="1" x14ac:dyDescent="0.2">
      <c r="B6" s="96" t="s">
        <v>35</v>
      </c>
      <c r="C6" s="22">
        <f>C5-C11-C35</f>
        <v>22081963226.18</v>
      </c>
      <c r="D6" s="22">
        <f>D5-D11-D35</f>
        <v>17236380683.68</v>
      </c>
      <c r="E6" s="94" t="s">
        <v>79</v>
      </c>
      <c r="F6" s="94" t="s">
        <v>79</v>
      </c>
      <c r="G6" s="94" t="s">
        <v>79</v>
      </c>
      <c r="H6" s="94" t="s">
        <v>79</v>
      </c>
      <c r="I6" s="94" t="s">
        <v>79</v>
      </c>
      <c r="J6" s="29">
        <f t="shared" si="0"/>
        <v>60.394804171142717</v>
      </c>
      <c r="K6" s="29">
        <f t="shared" si="1"/>
        <v>78.056377991087501</v>
      </c>
      <c r="L6" s="29">
        <f>IF($D$6=0,"",100*$D6/$D$6)</f>
        <v>100</v>
      </c>
      <c r="M6" s="34"/>
      <c r="N6" s="34"/>
      <c r="O6" s="34"/>
      <c r="P6" s="34"/>
      <c r="Q6" s="34"/>
    </row>
    <row r="7" spans="2:17" ht="22.5" outlineLevel="1" x14ac:dyDescent="0.2">
      <c r="B7" s="28" t="s">
        <v>97</v>
      </c>
      <c r="C7" s="20">
        <f>6766158728.51</f>
        <v>6766158728.5100002</v>
      </c>
      <c r="D7" s="20">
        <f>5725211151</f>
        <v>5725211151</v>
      </c>
      <c r="E7" s="109" t="s">
        <v>79</v>
      </c>
      <c r="F7" s="109" t="s">
        <v>79</v>
      </c>
      <c r="G7" s="109" t="s">
        <v>79</v>
      </c>
      <c r="H7" s="109" t="s">
        <v>79</v>
      </c>
      <c r="I7" s="109" t="s">
        <v>79</v>
      </c>
      <c r="J7" s="30">
        <f t="shared" si="0"/>
        <v>20.060650356282594</v>
      </c>
      <c r="K7" s="30">
        <f t="shared" si="1"/>
        <v>84.615383420967561</v>
      </c>
      <c r="L7" s="30">
        <f>IF($D$6=0,"",100*$D7/$D$6)</f>
        <v>33.215854627885001</v>
      </c>
      <c r="M7" s="34"/>
      <c r="N7" s="34"/>
      <c r="O7" s="34"/>
      <c r="P7" s="34"/>
      <c r="Q7" s="34"/>
    </row>
    <row r="8" spans="2:17" ht="22.5" outlineLevel="1" x14ac:dyDescent="0.2">
      <c r="B8" s="60" t="s">
        <v>98</v>
      </c>
      <c r="C8" s="21">
        <f>12401133775.08</f>
        <v>12401133775.08</v>
      </c>
      <c r="D8" s="21">
        <f>9300850281</f>
        <v>9300850281</v>
      </c>
      <c r="E8" s="109" t="s">
        <v>79</v>
      </c>
      <c r="F8" s="109" t="s">
        <v>79</v>
      </c>
      <c r="G8" s="109" t="s">
        <v>79</v>
      </c>
      <c r="H8" s="109" t="s">
        <v>79</v>
      </c>
      <c r="I8" s="109" t="s">
        <v>79</v>
      </c>
      <c r="J8" s="30">
        <f t="shared" si="0"/>
        <v>32.589384143619633</v>
      </c>
      <c r="K8" s="30">
        <f t="shared" si="1"/>
        <v>74.999999594311291</v>
      </c>
      <c r="L8" s="30">
        <f>IF($D$6=0,"",100*$D8/$D$6)</f>
        <v>53.96057589866512</v>
      </c>
      <c r="M8" s="34"/>
      <c r="N8" s="34"/>
      <c r="O8" s="34"/>
      <c r="P8" s="34"/>
      <c r="Q8" s="34"/>
    </row>
    <row r="9" spans="2:17" ht="12.75" customHeight="1" outlineLevel="1" x14ac:dyDescent="0.2">
      <c r="B9" s="60" t="s">
        <v>19</v>
      </c>
      <c r="C9" s="21">
        <f>229794670</f>
        <v>229794670</v>
      </c>
      <c r="D9" s="57">
        <f>171117155.39</f>
        <v>171117155.38999999</v>
      </c>
      <c r="E9" s="109" t="s">
        <v>79</v>
      </c>
      <c r="F9" s="109" t="s">
        <v>79</v>
      </c>
      <c r="G9" s="109" t="s">
        <v>79</v>
      </c>
      <c r="H9" s="109" t="s">
        <v>79</v>
      </c>
      <c r="I9" s="109" t="s">
        <v>79</v>
      </c>
      <c r="J9" s="30">
        <f t="shared" si="0"/>
        <v>0.59957988163299214</v>
      </c>
      <c r="K9" s="30">
        <f t="shared" si="1"/>
        <v>74.46524124776262</v>
      </c>
      <c r="L9" s="30">
        <f>IF($D$6=0,"",100*$D9/$D$6)</f>
        <v>0.99276732470883289</v>
      </c>
      <c r="M9" s="34"/>
      <c r="N9" s="34"/>
      <c r="O9" s="34"/>
      <c r="P9" s="34"/>
      <c r="Q9" s="34"/>
    </row>
    <row r="10" spans="2:17" ht="12.75" customHeight="1" outlineLevel="1" x14ac:dyDescent="0.2">
      <c r="B10" s="60" t="s">
        <v>20</v>
      </c>
      <c r="C10" s="21">
        <f>C6-C7-C8-C9</f>
        <v>2684876052.5900002</v>
      </c>
      <c r="D10" s="21">
        <f>D6-D7-D8-D9</f>
        <v>2039202096.2900004</v>
      </c>
      <c r="E10" s="109" t="s">
        <v>79</v>
      </c>
      <c r="F10" s="109" t="s">
        <v>79</v>
      </c>
      <c r="G10" s="109" t="s">
        <v>79</v>
      </c>
      <c r="H10" s="109" t="s">
        <v>79</v>
      </c>
      <c r="I10" s="109" t="s">
        <v>79</v>
      </c>
      <c r="J10" s="30">
        <f t="shared" si="0"/>
        <v>7.1451897896075005</v>
      </c>
      <c r="K10" s="30">
        <f t="shared" si="1"/>
        <v>75.95144268663195</v>
      </c>
      <c r="L10" s="30">
        <f>IF($D$6=0,"",100*$D10/$D$6)</f>
        <v>11.830802148741048</v>
      </c>
      <c r="M10" s="34"/>
      <c r="N10" s="34"/>
      <c r="O10" s="34"/>
      <c r="P10" s="34"/>
      <c r="Q10" s="34"/>
    </row>
    <row r="11" spans="2:17" ht="27" customHeight="1" x14ac:dyDescent="0.2">
      <c r="B11" s="96" t="s">
        <v>80</v>
      </c>
      <c r="C11" s="55">
        <f>C12+C31+C33</f>
        <v>12161296119.959999</v>
      </c>
      <c r="D11" s="55">
        <f>D12+D31+D33</f>
        <v>7040691400.2299995</v>
      </c>
      <c r="E11" s="94" t="s">
        <v>79</v>
      </c>
      <c r="F11" s="94" t="s">
        <v>79</v>
      </c>
      <c r="G11" s="94" t="s">
        <v>79</v>
      </c>
      <c r="H11" s="94" t="s">
        <v>79</v>
      </c>
      <c r="I11" s="94" t="s">
        <v>79</v>
      </c>
      <c r="J11" s="56">
        <f t="shared" si="0"/>
        <v>24.669980673434157</v>
      </c>
      <c r="K11" s="56">
        <f t="shared" si="1"/>
        <v>57.894251819707833</v>
      </c>
      <c r="L11" s="58"/>
      <c r="M11" s="34"/>
      <c r="N11" s="34"/>
      <c r="O11" s="34"/>
      <c r="P11" s="34"/>
      <c r="Q11" s="34"/>
    </row>
    <row r="12" spans="2:17" ht="27" customHeight="1" outlineLevel="1" x14ac:dyDescent="0.2">
      <c r="B12" s="101" t="s">
        <v>36</v>
      </c>
      <c r="C12" s="55">
        <f>C13+C15+C17+C19+C21+C23+C25+C27+C29</f>
        <v>3589817874.6199994</v>
      </c>
      <c r="D12" s="55">
        <f>D13+D15+D17+D19+D21+D23+D25+D27+D29</f>
        <v>2526266286.9799995</v>
      </c>
      <c r="E12" s="94" t="s">
        <v>79</v>
      </c>
      <c r="F12" s="94" t="s">
        <v>79</v>
      </c>
      <c r="G12" s="94" t="s">
        <v>79</v>
      </c>
      <c r="H12" s="94" t="s">
        <v>79</v>
      </c>
      <c r="I12" s="94" t="s">
        <v>79</v>
      </c>
      <c r="J12" s="56">
        <f t="shared" si="0"/>
        <v>8.8518210688383441</v>
      </c>
      <c r="K12" s="56">
        <f t="shared" si="1"/>
        <v>70.373104575602397</v>
      </c>
      <c r="L12" s="26"/>
      <c r="M12" s="34"/>
      <c r="N12" s="34"/>
      <c r="O12" s="34"/>
      <c r="P12" s="34"/>
      <c r="Q12" s="34"/>
    </row>
    <row r="13" spans="2:17" ht="22.5" outlineLevel="1" x14ac:dyDescent="0.2">
      <c r="B13" s="102" t="s">
        <v>9</v>
      </c>
      <c r="C13" s="21">
        <f>1822157207.6</f>
        <v>1822157207.5999999</v>
      </c>
      <c r="D13" s="21">
        <f>1554568723.99</f>
        <v>1554568723.99</v>
      </c>
      <c r="E13" s="109" t="s">
        <v>79</v>
      </c>
      <c r="F13" s="109" t="s">
        <v>79</v>
      </c>
      <c r="G13" s="109" t="s">
        <v>79</v>
      </c>
      <c r="H13" s="109" t="s">
        <v>79</v>
      </c>
      <c r="I13" s="109" t="s">
        <v>79</v>
      </c>
      <c r="J13" s="30">
        <f t="shared" si="0"/>
        <v>5.447075890175455</v>
      </c>
      <c r="K13" s="30">
        <f t="shared" si="1"/>
        <v>85.314742191622088</v>
      </c>
      <c r="L13" s="26"/>
      <c r="M13" s="34"/>
      <c r="N13" s="34"/>
      <c r="O13" s="34"/>
      <c r="P13" s="34"/>
      <c r="Q13" s="34"/>
    </row>
    <row r="14" spans="2:17" ht="12.75" customHeight="1" outlineLevel="1" x14ac:dyDescent="0.2">
      <c r="B14" s="112" t="s">
        <v>6</v>
      </c>
      <c r="C14" s="21">
        <f>1755500</f>
        <v>1755500</v>
      </c>
      <c r="D14" s="21">
        <f>0</f>
        <v>0</v>
      </c>
      <c r="E14" s="109" t="s">
        <v>79</v>
      </c>
      <c r="F14" s="109" t="s">
        <v>79</v>
      </c>
      <c r="G14" s="109" t="s">
        <v>79</v>
      </c>
      <c r="H14" s="109" t="s">
        <v>79</v>
      </c>
      <c r="I14" s="109" t="s">
        <v>79</v>
      </c>
      <c r="J14" s="30">
        <f t="shared" si="0"/>
        <v>0</v>
      </c>
      <c r="K14" s="30">
        <f t="shared" si="1"/>
        <v>0</v>
      </c>
      <c r="L14" s="26"/>
      <c r="M14" s="34"/>
      <c r="N14" s="34"/>
      <c r="O14" s="34"/>
      <c r="P14" s="34"/>
      <c r="Q14" s="34"/>
    </row>
    <row r="15" spans="2:17" ht="12.75" customHeight="1" outlineLevel="1" x14ac:dyDescent="0.2">
      <c r="B15" s="102" t="s">
        <v>7</v>
      </c>
      <c r="C15" s="21">
        <f>295733917.19</f>
        <v>295733917.19</v>
      </c>
      <c r="D15" s="21">
        <f>200965623.49</f>
        <v>200965623.49000001</v>
      </c>
      <c r="E15" s="109" t="s">
        <v>79</v>
      </c>
      <c r="F15" s="109" t="s">
        <v>79</v>
      </c>
      <c r="G15" s="109" t="s">
        <v>79</v>
      </c>
      <c r="H15" s="109" t="s">
        <v>79</v>
      </c>
      <c r="I15" s="109" t="s">
        <v>79</v>
      </c>
      <c r="J15" s="30">
        <f t="shared" si="0"/>
        <v>0.70416636175262382</v>
      </c>
      <c r="K15" s="30">
        <f t="shared" si="1"/>
        <v>67.954878290434891</v>
      </c>
      <c r="L15" s="26"/>
      <c r="M15" s="34"/>
      <c r="N15" s="34"/>
      <c r="O15" s="34"/>
      <c r="P15" s="34"/>
      <c r="Q15" s="34"/>
    </row>
    <row r="16" spans="2:17" ht="12.75" customHeight="1" outlineLevel="1" x14ac:dyDescent="0.2">
      <c r="B16" s="112" t="s">
        <v>6</v>
      </c>
      <c r="C16" s="21">
        <f>252681317.19</f>
        <v>252681317.19</v>
      </c>
      <c r="D16" s="21">
        <f>172158911.8</f>
        <v>172158911.80000001</v>
      </c>
      <c r="E16" s="109" t="s">
        <v>79</v>
      </c>
      <c r="F16" s="109" t="s">
        <v>79</v>
      </c>
      <c r="G16" s="109" t="s">
        <v>79</v>
      </c>
      <c r="H16" s="109" t="s">
        <v>79</v>
      </c>
      <c r="I16" s="109" t="s">
        <v>79</v>
      </c>
      <c r="J16" s="30">
        <f t="shared" si="0"/>
        <v>0.60323010702140889</v>
      </c>
      <c r="K16" s="30">
        <f t="shared" si="1"/>
        <v>68.132821893811652</v>
      </c>
      <c r="L16" s="26"/>
      <c r="M16" s="34"/>
      <c r="N16" s="34"/>
      <c r="O16" s="34"/>
      <c r="P16" s="34"/>
      <c r="Q16" s="34"/>
    </row>
    <row r="17" spans="2:17" ht="33.75" outlineLevel="1" x14ac:dyDescent="0.2">
      <c r="B17" s="102" t="s">
        <v>10</v>
      </c>
      <c r="C17" s="21">
        <f>46958904</f>
        <v>46958904</v>
      </c>
      <c r="D17" s="21">
        <f>38385745.82</f>
        <v>38385745.82</v>
      </c>
      <c r="E17" s="109" t="s">
        <v>79</v>
      </c>
      <c r="F17" s="109" t="s">
        <v>79</v>
      </c>
      <c r="G17" s="109" t="s">
        <v>79</v>
      </c>
      <c r="H17" s="109" t="s">
        <v>79</v>
      </c>
      <c r="I17" s="109" t="s">
        <v>79</v>
      </c>
      <c r="J17" s="30">
        <f t="shared" si="0"/>
        <v>0.134500371296464</v>
      </c>
      <c r="K17" s="30">
        <f t="shared" si="1"/>
        <v>81.743274544908459</v>
      </c>
      <c r="L17" s="26"/>
      <c r="M17" s="34"/>
      <c r="N17" s="34"/>
      <c r="O17" s="34"/>
      <c r="P17" s="34"/>
      <c r="Q17" s="34"/>
    </row>
    <row r="18" spans="2:17" ht="12.75" customHeight="1" outlineLevel="1" x14ac:dyDescent="0.2">
      <c r="B18" s="112" t="s">
        <v>6</v>
      </c>
      <c r="C18" s="21">
        <f>360000</f>
        <v>360000</v>
      </c>
      <c r="D18" s="21">
        <f>0</f>
        <v>0</v>
      </c>
      <c r="E18" s="109" t="s">
        <v>79</v>
      </c>
      <c r="F18" s="109" t="s">
        <v>79</v>
      </c>
      <c r="G18" s="109" t="s">
        <v>79</v>
      </c>
      <c r="H18" s="109" t="s">
        <v>79</v>
      </c>
      <c r="I18" s="109" t="s">
        <v>79</v>
      </c>
      <c r="J18" s="30">
        <f t="shared" si="0"/>
        <v>0</v>
      </c>
      <c r="K18" s="30">
        <f t="shared" si="1"/>
        <v>0</v>
      </c>
      <c r="L18" s="26"/>
      <c r="M18" s="34"/>
      <c r="N18" s="34"/>
      <c r="O18" s="34"/>
      <c r="P18" s="34"/>
      <c r="Q18" s="34"/>
    </row>
    <row r="19" spans="2:17" ht="24" customHeight="1" outlineLevel="1" x14ac:dyDescent="0.2">
      <c r="B19" s="102" t="s">
        <v>11</v>
      </c>
      <c r="C19" s="21">
        <f>77334696.47</f>
        <v>77334696.469999999</v>
      </c>
      <c r="D19" s="21">
        <f>56141053.7</f>
        <v>56141053.700000003</v>
      </c>
      <c r="E19" s="109" t="s">
        <v>79</v>
      </c>
      <c r="F19" s="109" t="s">
        <v>79</v>
      </c>
      <c r="G19" s="109" t="s">
        <v>79</v>
      </c>
      <c r="H19" s="109" t="s">
        <v>79</v>
      </c>
      <c r="I19" s="109" t="s">
        <v>79</v>
      </c>
      <c r="J19" s="30">
        <f t="shared" si="0"/>
        <v>0.19671345199421539</v>
      </c>
      <c r="K19" s="30">
        <f t="shared" si="1"/>
        <v>72.594910515719775</v>
      </c>
      <c r="L19" s="26"/>
      <c r="M19" s="34"/>
      <c r="N19" s="34"/>
      <c r="O19" s="34"/>
      <c r="P19" s="34"/>
      <c r="Q19" s="34"/>
    </row>
    <row r="20" spans="2:17" ht="12.75" customHeight="1" outlineLevel="1" x14ac:dyDescent="0.2">
      <c r="B20" s="112" t="s">
        <v>6</v>
      </c>
      <c r="C20" s="21">
        <f>5099771</f>
        <v>5099771</v>
      </c>
      <c r="D20" s="21">
        <f>1898505.48</f>
        <v>1898505.48</v>
      </c>
      <c r="E20" s="109" t="s">
        <v>79</v>
      </c>
      <c r="F20" s="109" t="s">
        <v>79</v>
      </c>
      <c r="G20" s="109" t="s">
        <v>79</v>
      </c>
      <c r="H20" s="109" t="s">
        <v>79</v>
      </c>
      <c r="I20" s="109" t="s">
        <v>79</v>
      </c>
      <c r="J20" s="30">
        <f t="shared" si="0"/>
        <v>6.6522008759649417E-3</v>
      </c>
      <c r="K20" s="30">
        <f t="shared" si="1"/>
        <v>37.227269224441649</v>
      </c>
      <c r="L20" s="26"/>
      <c r="M20" s="34"/>
      <c r="N20" s="34"/>
      <c r="O20" s="34"/>
      <c r="P20" s="34"/>
      <c r="Q20" s="34"/>
    </row>
    <row r="21" spans="2:17" ht="33.75" customHeight="1" outlineLevel="1" x14ac:dyDescent="0.2">
      <c r="B21" s="102" t="s">
        <v>54</v>
      </c>
      <c r="C21" s="21">
        <f>351390495.64</f>
        <v>351390495.63999999</v>
      </c>
      <c r="D21" s="21">
        <f>187595024.28</f>
        <v>187595024.28</v>
      </c>
      <c r="E21" s="109" t="s">
        <v>79</v>
      </c>
      <c r="F21" s="109" t="s">
        <v>79</v>
      </c>
      <c r="G21" s="109" t="s">
        <v>79</v>
      </c>
      <c r="H21" s="109" t="s">
        <v>79</v>
      </c>
      <c r="I21" s="109" t="s">
        <v>79</v>
      </c>
      <c r="J21" s="30">
        <f t="shared" si="0"/>
        <v>0.65731692533333141</v>
      </c>
      <c r="K21" s="30">
        <f t="shared" si="1"/>
        <v>53.386482163761009</v>
      </c>
      <c r="L21" s="26"/>
      <c r="M21" s="34"/>
      <c r="N21" s="34"/>
      <c r="O21" s="34"/>
      <c r="P21" s="34"/>
      <c r="Q21" s="34"/>
    </row>
    <row r="22" spans="2:17" ht="12.75" customHeight="1" outlineLevel="1" x14ac:dyDescent="0.2">
      <c r="B22" s="112" t="s">
        <v>6</v>
      </c>
      <c r="C22" s="21">
        <f>235602634.02</f>
        <v>235602634.02000001</v>
      </c>
      <c r="D22" s="21">
        <f>97570620.75</f>
        <v>97570620.75</v>
      </c>
      <c r="E22" s="109" t="s">
        <v>79</v>
      </c>
      <c r="F22" s="109" t="s">
        <v>79</v>
      </c>
      <c r="G22" s="109" t="s">
        <v>79</v>
      </c>
      <c r="H22" s="109" t="s">
        <v>79</v>
      </c>
      <c r="I22" s="109" t="s">
        <v>79</v>
      </c>
      <c r="J22" s="30">
        <f t="shared" si="0"/>
        <v>0.34187911262789356</v>
      </c>
      <c r="K22" s="30">
        <f t="shared" si="1"/>
        <v>41.413213038067035</v>
      </c>
      <c r="L22" s="26"/>
      <c r="M22" s="34"/>
      <c r="N22" s="34"/>
      <c r="O22" s="34"/>
      <c r="P22" s="34"/>
      <c r="Q22" s="34"/>
    </row>
    <row r="23" spans="2:17" outlineLevel="1" x14ac:dyDescent="0.2">
      <c r="B23" s="102" t="s">
        <v>8</v>
      </c>
      <c r="C23" s="21">
        <f>38618600</f>
        <v>38618600</v>
      </c>
      <c r="D23" s="21">
        <f>30444686.99</f>
        <v>30444686.989999998</v>
      </c>
      <c r="E23" s="109" t="s">
        <v>79</v>
      </c>
      <c r="F23" s="109" t="s">
        <v>79</v>
      </c>
      <c r="G23" s="109" t="s">
        <v>79</v>
      </c>
      <c r="H23" s="109" t="s">
        <v>79</v>
      </c>
      <c r="I23" s="109" t="s">
        <v>79</v>
      </c>
      <c r="J23" s="30">
        <f t="shared" si="0"/>
        <v>0.10667558013230305</v>
      </c>
      <c r="K23" s="30">
        <f t="shared" si="1"/>
        <v>78.83425859559901</v>
      </c>
      <c r="L23" s="26"/>
      <c r="M23" s="34"/>
      <c r="N23" s="34"/>
      <c r="O23" s="34"/>
      <c r="P23" s="34"/>
      <c r="Q23" s="34"/>
    </row>
    <row r="24" spans="2:17" ht="12.75" customHeight="1" outlineLevel="1" x14ac:dyDescent="0.2">
      <c r="B24" s="112" t="s">
        <v>6</v>
      </c>
      <c r="C24" s="21">
        <f>6875000</f>
        <v>6875000</v>
      </c>
      <c r="D24" s="21">
        <f>6875000</f>
        <v>6875000</v>
      </c>
      <c r="E24" s="109" t="s">
        <v>79</v>
      </c>
      <c r="F24" s="109" t="s">
        <v>79</v>
      </c>
      <c r="G24" s="109" t="s">
        <v>79</v>
      </c>
      <c r="H24" s="109" t="s">
        <v>79</v>
      </c>
      <c r="I24" s="109" t="s">
        <v>79</v>
      </c>
      <c r="J24" s="30">
        <f t="shared" si="0"/>
        <v>2.4089412173969062E-2</v>
      </c>
      <c r="K24" s="30">
        <f t="shared" si="1"/>
        <v>100</v>
      </c>
      <c r="L24" s="26"/>
      <c r="M24" s="34"/>
      <c r="N24" s="34"/>
      <c r="O24" s="34"/>
      <c r="P24" s="34"/>
      <c r="Q24" s="34"/>
    </row>
    <row r="25" spans="2:17" ht="67.5" outlineLevel="1" x14ac:dyDescent="0.2">
      <c r="B25" s="102" t="s">
        <v>70</v>
      </c>
      <c r="C25" s="21">
        <f>0</f>
        <v>0</v>
      </c>
      <c r="D25" s="21">
        <f>0</f>
        <v>0</v>
      </c>
      <c r="E25" s="109" t="s">
        <v>79</v>
      </c>
      <c r="F25" s="109" t="s">
        <v>79</v>
      </c>
      <c r="G25" s="109" t="s">
        <v>79</v>
      </c>
      <c r="H25" s="109" t="s">
        <v>79</v>
      </c>
      <c r="I25" s="109" t="s">
        <v>79</v>
      </c>
      <c r="J25" s="30">
        <f t="shared" si="0"/>
        <v>0</v>
      </c>
      <c r="K25" s="30" t="str">
        <f t="shared" si="1"/>
        <v/>
      </c>
      <c r="L25" s="26"/>
      <c r="M25" s="34"/>
      <c r="N25" s="34"/>
      <c r="O25" s="34"/>
      <c r="P25" s="34"/>
      <c r="Q25" s="34"/>
    </row>
    <row r="26" spans="2:17" ht="12.75" customHeight="1" outlineLevel="1" x14ac:dyDescent="0.2">
      <c r="B26" s="112" t="s">
        <v>71</v>
      </c>
      <c r="C26" s="21">
        <f>0</f>
        <v>0</v>
      </c>
      <c r="D26" s="21">
        <f>0</f>
        <v>0</v>
      </c>
      <c r="E26" s="109" t="s">
        <v>79</v>
      </c>
      <c r="F26" s="109" t="s">
        <v>79</v>
      </c>
      <c r="G26" s="109" t="s">
        <v>79</v>
      </c>
      <c r="H26" s="109" t="s">
        <v>79</v>
      </c>
      <c r="I26" s="109" t="s">
        <v>79</v>
      </c>
      <c r="J26" s="30">
        <f t="shared" si="0"/>
        <v>0</v>
      </c>
      <c r="K26" s="30" t="str">
        <f t="shared" si="1"/>
        <v/>
      </c>
      <c r="L26" s="26"/>
      <c r="M26" s="34"/>
      <c r="N26" s="34"/>
      <c r="O26" s="34"/>
      <c r="P26" s="34"/>
      <c r="Q26" s="34"/>
    </row>
    <row r="27" spans="2:17" ht="45" outlineLevel="1" x14ac:dyDescent="0.2">
      <c r="B27" s="113" t="s">
        <v>69</v>
      </c>
      <c r="C27" s="67">
        <f>922276266</f>
        <v>922276266</v>
      </c>
      <c r="D27" s="67">
        <f>421610387.22</f>
        <v>421610387.22000003</v>
      </c>
      <c r="E27" s="109" t="s">
        <v>79</v>
      </c>
      <c r="F27" s="109" t="s">
        <v>79</v>
      </c>
      <c r="G27" s="109" t="s">
        <v>79</v>
      </c>
      <c r="H27" s="109" t="s">
        <v>79</v>
      </c>
      <c r="I27" s="109" t="s">
        <v>79</v>
      </c>
      <c r="J27" s="68">
        <f t="shared" si="0"/>
        <v>1.4772867483009859</v>
      </c>
      <c r="K27" s="68">
        <f t="shared" si="1"/>
        <v>45.714110051705482</v>
      </c>
      <c r="L27" s="26"/>
      <c r="M27" s="34"/>
      <c r="N27" s="34"/>
      <c r="O27" s="34"/>
      <c r="P27" s="34"/>
      <c r="Q27" s="34"/>
    </row>
    <row r="28" spans="2:17" ht="12.75" customHeight="1" outlineLevel="1" x14ac:dyDescent="0.2">
      <c r="B28" s="112" t="s">
        <v>6</v>
      </c>
      <c r="C28" s="21">
        <f>922276266</f>
        <v>922276266</v>
      </c>
      <c r="D28" s="21">
        <f>421610387.22</f>
        <v>421610387.22000003</v>
      </c>
      <c r="E28" s="109" t="s">
        <v>79</v>
      </c>
      <c r="F28" s="109" t="s">
        <v>79</v>
      </c>
      <c r="G28" s="109" t="s">
        <v>79</v>
      </c>
      <c r="H28" s="109" t="s">
        <v>79</v>
      </c>
      <c r="I28" s="109" t="s">
        <v>79</v>
      </c>
      <c r="J28" s="30">
        <f t="shared" si="0"/>
        <v>1.4772867483009859</v>
      </c>
      <c r="K28" s="30">
        <f t="shared" si="1"/>
        <v>45.714110051705482</v>
      </c>
      <c r="L28" s="26"/>
      <c r="M28" s="34"/>
      <c r="N28" s="34"/>
      <c r="O28" s="34"/>
      <c r="P28" s="34"/>
      <c r="Q28" s="34"/>
    </row>
    <row r="29" spans="2:17" ht="22.5" outlineLevel="1" x14ac:dyDescent="0.2">
      <c r="B29" s="113" t="s">
        <v>87</v>
      </c>
      <c r="C29" s="21">
        <f>35347787.72</f>
        <v>35347787.719999999</v>
      </c>
      <c r="D29" s="21">
        <f>36555041.49</f>
        <v>36555041.490000002</v>
      </c>
      <c r="E29" s="109" t="s">
        <v>79</v>
      </c>
      <c r="F29" s="109" t="s">
        <v>79</v>
      </c>
      <c r="G29" s="109" t="s">
        <v>79</v>
      </c>
      <c r="H29" s="109" t="s">
        <v>79</v>
      </c>
      <c r="I29" s="109" t="s">
        <v>79</v>
      </c>
      <c r="J29" s="30">
        <f t="shared" si="0"/>
        <v>0.12808573985296728</v>
      </c>
      <c r="K29" s="30">
        <f t="shared" si="1"/>
        <v>103.41535877595227</v>
      </c>
      <c r="L29" s="26"/>
      <c r="M29" s="34"/>
      <c r="N29" s="34"/>
      <c r="O29" s="34"/>
      <c r="P29" s="34"/>
      <c r="Q29" s="34"/>
    </row>
    <row r="30" spans="2:17" ht="12.75" customHeight="1" outlineLevel="1" x14ac:dyDescent="0.2">
      <c r="B30" s="112" t="s">
        <v>6</v>
      </c>
      <c r="C30" s="21">
        <f>0</f>
        <v>0</v>
      </c>
      <c r="D30" s="21">
        <f>0</f>
        <v>0</v>
      </c>
      <c r="E30" s="109" t="s">
        <v>79</v>
      </c>
      <c r="F30" s="109" t="s">
        <v>79</v>
      </c>
      <c r="G30" s="109" t="s">
        <v>79</v>
      </c>
      <c r="H30" s="109" t="s">
        <v>79</v>
      </c>
      <c r="I30" s="109" t="s">
        <v>79</v>
      </c>
      <c r="J30" s="30">
        <f t="shared" si="0"/>
        <v>0</v>
      </c>
      <c r="K30" s="30" t="str">
        <f t="shared" si="1"/>
        <v/>
      </c>
      <c r="L30" s="26"/>
      <c r="M30" s="34"/>
      <c r="N30" s="34"/>
      <c r="O30" s="34"/>
      <c r="P30" s="34"/>
      <c r="Q30" s="34"/>
    </row>
    <row r="31" spans="2:17" ht="13.5" customHeight="1" outlineLevel="1" x14ac:dyDescent="0.2">
      <c r="B31" s="101" t="s">
        <v>46</v>
      </c>
      <c r="C31" s="55">
        <f>1979535551.35</f>
        <v>1979535551.3499999</v>
      </c>
      <c r="D31" s="55">
        <f>831470119.17</f>
        <v>831470119.16999996</v>
      </c>
      <c r="E31" s="94" t="s">
        <v>79</v>
      </c>
      <c r="F31" s="94" t="s">
        <v>79</v>
      </c>
      <c r="G31" s="94" t="s">
        <v>79</v>
      </c>
      <c r="H31" s="94" t="s">
        <v>79</v>
      </c>
      <c r="I31" s="94" t="s">
        <v>79</v>
      </c>
      <c r="J31" s="56">
        <f t="shared" si="0"/>
        <v>2.9134002052400443</v>
      </c>
      <c r="K31" s="56">
        <f t="shared" si="1"/>
        <v>42.003293075638659</v>
      </c>
      <c r="L31" s="26"/>
      <c r="M31" s="34"/>
      <c r="N31" s="34"/>
      <c r="O31" s="34"/>
      <c r="P31" s="34"/>
      <c r="Q31" s="34"/>
    </row>
    <row r="32" spans="2:17" ht="12.75" customHeight="1" outlineLevel="1" x14ac:dyDescent="0.2">
      <c r="B32" s="103" t="s">
        <v>47</v>
      </c>
      <c r="C32" s="20">
        <f>733463082.32</f>
        <v>733463082.32000005</v>
      </c>
      <c r="D32" s="20">
        <f>163550950.13</f>
        <v>163550950.13</v>
      </c>
      <c r="E32" s="109" t="s">
        <v>79</v>
      </c>
      <c r="F32" s="109" t="s">
        <v>79</v>
      </c>
      <c r="G32" s="109" t="s">
        <v>79</v>
      </c>
      <c r="H32" s="109" t="s">
        <v>79</v>
      </c>
      <c r="I32" s="109" t="s">
        <v>79</v>
      </c>
      <c r="J32" s="30">
        <f t="shared" si="0"/>
        <v>0.57306854532739326</v>
      </c>
      <c r="K32" s="30">
        <f t="shared" si="1"/>
        <v>22.298457014724693</v>
      </c>
      <c r="L32" s="26"/>
      <c r="M32" s="34"/>
      <c r="N32" s="34"/>
      <c r="O32" s="34"/>
      <c r="P32" s="34"/>
      <c r="Q32" s="34"/>
    </row>
    <row r="33" spans="1:26" ht="14.25" customHeight="1" outlineLevel="1" x14ac:dyDescent="0.2">
      <c r="B33" s="101" t="s">
        <v>59</v>
      </c>
      <c r="C33" s="55">
        <f>6591942693.99</f>
        <v>6591942693.9899998</v>
      </c>
      <c r="D33" s="55">
        <f>3682954994.08</f>
        <v>3682954994.0799999</v>
      </c>
      <c r="E33" s="94" t="s">
        <v>79</v>
      </c>
      <c r="F33" s="94" t="s">
        <v>79</v>
      </c>
      <c r="G33" s="94" t="s">
        <v>79</v>
      </c>
      <c r="H33" s="94" t="s">
        <v>79</v>
      </c>
      <c r="I33" s="94" t="s">
        <v>79</v>
      </c>
      <c r="J33" s="59">
        <f t="shared" si="0"/>
        <v>12.904759399355768</v>
      </c>
      <c r="K33" s="59">
        <f t="shared" si="1"/>
        <v>55.870555389351615</v>
      </c>
      <c r="L33" s="26"/>
      <c r="M33" s="34"/>
      <c r="N33" s="34"/>
      <c r="O33" s="34"/>
      <c r="P33" s="34"/>
      <c r="Q33" s="34"/>
    </row>
    <row r="34" spans="1:26" ht="12.75" customHeight="1" outlineLevel="1" x14ac:dyDescent="0.2">
      <c r="B34" s="103" t="s">
        <v>60</v>
      </c>
      <c r="C34" s="20">
        <f>4093289250.41</f>
        <v>4093289250.4099998</v>
      </c>
      <c r="D34" s="20">
        <f>2013064877.76</f>
        <v>2013064877.76</v>
      </c>
      <c r="E34" s="109" t="s">
        <v>79</v>
      </c>
      <c r="F34" s="109" t="s">
        <v>79</v>
      </c>
      <c r="G34" s="109" t="s">
        <v>79</v>
      </c>
      <c r="H34" s="109" t="s">
        <v>79</v>
      </c>
      <c r="I34" s="109" t="s">
        <v>79</v>
      </c>
      <c r="J34" s="30">
        <f t="shared" si="0"/>
        <v>7.0536072106620047</v>
      </c>
      <c r="K34" s="30">
        <f t="shared" si="1"/>
        <v>49.179639028890115</v>
      </c>
      <c r="L34" s="26"/>
      <c r="M34" s="34"/>
      <c r="N34" s="34"/>
      <c r="O34" s="34"/>
      <c r="P34" s="34"/>
      <c r="Q34" s="34"/>
    </row>
    <row r="35" spans="1:26" s="5" customFormat="1" ht="27" customHeight="1" x14ac:dyDescent="0.2">
      <c r="B35" s="96" t="s">
        <v>99</v>
      </c>
      <c r="C35" s="22">
        <f>5679909407.83</f>
        <v>5679909407.8299999</v>
      </c>
      <c r="D35" s="22">
        <f>4262437101.08</f>
        <v>4262437101.0799999</v>
      </c>
      <c r="E35" s="94" t="s">
        <v>79</v>
      </c>
      <c r="F35" s="94" t="s">
        <v>79</v>
      </c>
      <c r="G35" s="94" t="s">
        <v>79</v>
      </c>
      <c r="H35" s="94" t="s">
        <v>79</v>
      </c>
      <c r="I35" s="94" t="s">
        <v>79</v>
      </c>
      <c r="J35" s="29">
        <f t="shared" si="0"/>
        <v>14.935215155423119</v>
      </c>
      <c r="K35" s="29">
        <f t="shared" si="1"/>
        <v>75.044103612005614</v>
      </c>
      <c r="L35" s="27"/>
      <c r="M35" s="48"/>
      <c r="N35" s="48"/>
      <c r="O35" s="48"/>
      <c r="P35" s="48"/>
      <c r="Q35" s="48"/>
    </row>
    <row r="36" spans="1:26" ht="12.75" customHeight="1" outlineLevel="1" x14ac:dyDescent="0.2">
      <c r="B36" s="60" t="s">
        <v>100</v>
      </c>
      <c r="C36" s="21">
        <f>0</f>
        <v>0</v>
      </c>
      <c r="D36" s="21">
        <f>0</f>
        <v>0</v>
      </c>
      <c r="E36" s="109" t="s">
        <v>79</v>
      </c>
      <c r="F36" s="109" t="s">
        <v>79</v>
      </c>
      <c r="G36" s="109" t="s">
        <v>79</v>
      </c>
      <c r="H36" s="109" t="s">
        <v>79</v>
      </c>
      <c r="I36" s="109" t="s">
        <v>79</v>
      </c>
      <c r="J36" s="30">
        <f t="shared" si="0"/>
        <v>0</v>
      </c>
      <c r="K36" s="30" t="str">
        <f t="shared" si="1"/>
        <v/>
      </c>
      <c r="L36" s="27"/>
      <c r="M36" s="34"/>
      <c r="N36" s="34"/>
      <c r="O36" s="34"/>
      <c r="P36" s="34"/>
      <c r="Q36" s="34"/>
    </row>
    <row r="37" spans="1:26" ht="22.5" outlineLevel="1" x14ac:dyDescent="0.2">
      <c r="B37" s="60" t="s">
        <v>101</v>
      </c>
      <c r="C37" s="21">
        <f>122678719.86</f>
        <v>122678719.86</v>
      </c>
      <c r="D37" s="21">
        <f>94514085.56</f>
        <v>94514085.560000002</v>
      </c>
      <c r="E37" s="109" t="s">
        <v>79</v>
      </c>
      <c r="F37" s="109" t="s">
        <v>79</v>
      </c>
      <c r="G37" s="109" t="s">
        <v>79</v>
      </c>
      <c r="H37" s="109" t="s">
        <v>79</v>
      </c>
      <c r="I37" s="109" t="s">
        <v>79</v>
      </c>
      <c r="J37" s="30">
        <f t="shared" si="0"/>
        <v>0.33116927466190799</v>
      </c>
      <c r="K37" s="30">
        <f t="shared" si="1"/>
        <v>77.041956150063143</v>
      </c>
      <c r="L37" s="27"/>
      <c r="M37" s="34"/>
      <c r="N37" s="34"/>
      <c r="O37" s="34"/>
      <c r="P37" s="34"/>
      <c r="Q37" s="34"/>
    </row>
    <row r="38" spans="1:26" ht="12.75" customHeight="1" outlineLevel="1" x14ac:dyDescent="0.2">
      <c r="B38" s="102" t="s">
        <v>6</v>
      </c>
      <c r="C38" s="21">
        <f>103157767</f>
        <v>103157767</v>
      </c>
      <c r="D38" s="21">
        <f>78907647</f>
        <v>78907647</v>
      </c>
      <c r="E38" s="109" t="s">
        <v>79</v>
      </c>
      <c r="F38" s="109" t="s">
        <v>79</v>
      </c>
      <c r="G38" s="109" t="s">
        <v>79</v>
      </c>
      <c r="H38" s="109" t="s">
        <v>79</v>
      </c>
      <c r="I38" s="109" t="s">
        <v>79</v>
      </c>
      <c r="J38" s="30">
        <f t="shared" si="0"/>
        <v>0.27648564832888051</v>
      </c>
      <c r="K38" s="30">
        <f t="shared" si="1"/>
        <v>76.492201503353598</v>
      </c>
      <c r="L38" s="27"/>
      <c r="M38" s="34"/>
      <c r="N38" s="34"/>
      <c r="O38" s="34"/>
      <c r="P38" s="34"/>
      <c r="Q38" s="34"/>
    </row>
    <row r="39" spans="1:26" s="5" customFormat="1" x14ac:dyDescent="0.2">
      <c r="B39" s="97" t="s">
        <v>86</v>
      </c>
      <c r="C39" s="55">
        <f>+C5</f>
        <v>39923168753.970001</v>
      </c>
      <c r="D39" s="55">
        <f>+D5</f>
        <v>28539509184.990002</v>
      </c>
      <c r="E39" s="94" t="s">
        <v>79</v>
      </c>
      <c r="F39" s="94" t="s">
        <v>79</v>
      </c>
      <c r="G39" s="94" t="s">
        <v>79</v>
      </c>
      <c r="H39" s="94" t="s">
        <v>79</v>
      </c>
      <c r="I39" s="94" t="s">
        <v>79</v>
      </c>
      <c r="J39" s="59">
        <f>IF($D$5=0,"",100*$D39/$D$39)</f>
        <v>100</v>
      </c>
      <c r="K39" s="91">
        <f t="shared" si="1"/>
        <v>71.486082081478074</v>
      </c>
      <c r="L39" s="93"/>
      <c r="M39" s="48"/>
      <c r="N39" s="48"/>
      <c r="O39" s="48"/>
      <c r="P39" s="48"/>
      <c r="Q39" s="48"/>
    </row>
    <row r="40" spans="1:26" s="5" customFormat="1" x14ac:dyDescent="0.2">
      <c r="B40" s="98" t="s">
        <v>49</v>
      </c>
      <c r="C40" s="21">
        <f>7649293251.63</f>
        <v>7649293251.6300001</v>
      </c>
      <c r="D40" s="21">
        <f>3626518976.12</f>
        <v>3626518976.1199999</v>
      </c>
      <c r="E40" s="109" t="s">
        <v>79</v>
      </c>
      <c r="F40" s="109" t="s">
        <v>79</v>
      </c>
      <c r="G40" s="109" t="s">
        <v>79</v>
      </c>
      <c r="H40" s="109" t="s">
        <v>79</v>
      </c>
      <c r="I40" s="109" t="s">
        <v>79</v>
      </c>
      <c r="J40" s="30">
        <f>IF($D$5=0,"",100*$D40/$D$39)</f>
        <v>12.707012417814537</v>
      </c>
      <c r="K40" s="92">
        <f t="shared" si="1"/>
        <v>47.409856790981564</v>
      </c>
      <c r="L40" s="93"/>
      <c r="M40" s="48"/>
      <c r="N40" s="48"/>
      <c r="O40" s="48"/>
      <c r="P40" s="48"/>
      <c r="Q40" s="48"/>
    </row>
    <row r="41" spans="1:26" s="5" customFormat="1" x14ac:dyDescent="0.2">
      <c r="A41" s="2"/>
      <c r="B41" s="98" t="s">
        <v>50</v>
      </c>
      <c r="C41" s="21">
        <f>C39-C40</f>
        <v>32273875502.34</v>
      </c>
      <c r="D41" s="21">
        <f>D39-D40</f>
        <v>24912990208.870003</v>
      </c>
      <c r="E41" s="109" t="s">
        <v>79</v>
      </c>
      <c r="F41" s="109" t="s">
        <v>79</v>
      </c>
      <c r="G41" s="109" t="s">
        <v>79</v>
      </c>
      <c r="H41" s="109" t="s">
        <v>79</v>
      </c>
      <c r="I41" s="109" t="s">
        <v>79</v>
      </c>
      <c r="J41" s="30">
        <f>IF($D$5=0,"",100*$D41/$D$39)</f>
        <v>87.292987582185475</v>
      </c>
      <c r="K41" s="92">
        <f t="shared" si="1"/>
        <v>77.19243450345374</v>
      </c>
      <c r="L41" s="93"/>
      <c r="M41" s="49"/>
      <c r="N41" s="49"/>
      <c r="O41" s="50"/>
      <c r="P41" s="50"/>
      <c r="Q41" s="19"/>
    </row>
    <row r="42" spans="1:26" s="5" customFormat="1" x14ac:dyDescent="0.2">
      <c r="A42" s="2"/>
      <c r="B42" s="118" t="s">
        <v>88</v>
      </c>
      <c r="C42" s="87"/>
      <c r="D42" s="87"/>
      <c r="E42" s="117"/>
      <c r="F42" s="117"/>
      <c r="G42" s="117"/>
      <c r="H42" s="117"/>
      <c r="I42" s="117"/>
      <c r="J42" s="58"/>
      <c r="K42" s="58"/>
      <c r="L42" s="58"/>
      <c r="M42" s="49"/>
      <c r="N42" s="49"/>
      <c r="O42" s="50"/>
      <c r="P42" s="50"/>
      <c r="Q42" s="19"/>
    </row>
    <row r="43" spans="1:26" ht="18" customHeight="1" x14ac:dyDescent="0.2">
      <c r="B43" s="99" t="str">
        <f>CONCATENATE("Informacja z wykonania budżetów województw za ",$D$115," ",$C$116," rok    ",$C$118,"")</f>
        <v xml:space="preserve">Informacja z wykonania budżetów województw za III Kwartały 2025 rok    </v>
      </c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</row>
    <row r="44" spans="1:26" s="5" customFormat="1" ht="10.5" customHeight="1" x14ac:dyDescent="0.2">
      <c r="B44" s="6"/>
      <c r="C44" s="7"/>
      <c r="D44" s="8"/>
      <c r="E44" s="8"/>
      <c r="F44" s="4"/>
      <c r="G44" s="4"/>
      <c r="H44" s="4"/>
      <c r="I44" s="4"/>
      <c r="J44" s="4"/>
      <c r="K44" s="9"/>
      <c r="L44" s="9"/>
      <c r="M44" s="3"/>
    </row>
    <row r="45" spans="1:26" ht="29.25" customHeight="1" x14ac:dyDescent="0.2">
      <c r="B45" s="136" t="s">
        <v>0</v>
      </c>
      <c r="C45" s="137" t="s">
        <v>31</v>
      </c>
      <c r="D45" s="137" t="s">
        <v>33</v>
      </c>
      <c r="E45" s="137" t="s">
        <v>32</v>
      </c>
      <c r="F45" s="137" t="s">
        <v>12</v>
      </c>
      <c r="G45" s="137"/>
      <c r="H45" s="137"/>
      <c r="I45" s="130" t="s">
        <v>61</v>
      </c>
      <c r="J45" s="137" t="s">
        <v>2</v>
      </c>
      <c r="K45" s="148" t="s">
        <v>18</v>
      </c>
      <c r="M45" s="10"/>
      <c r="N45" s="49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8" customHeight="1" x14ac:dyDescent="0.2">
      <c r="B46" s="136"/>
      <c r="C46" s="137"/>
      <c r="D46" s="137"/>
      <c r="E46" s="139"/>
      <c r="F46" s="138" t="s">
        <v>34</v>
      </c>
      <c r="G46" s="151" t="s">
        <v>23</v>
      </c>
      <c r="H46" s="139"/>
      <c r="I46" s="131"/>
      <c r="J46" s="137"/>
      <c r="K46" s="148"/>
      <c r="L46" s="11"/>
      <c r="M46" s="12"/>
      <c r="N46" s="49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55.5" customHeight="1" x14ac:dyDescent="0.2">
      <c r="B47" s="136"/>
      <c r="C47" s="137"/>
      <c r="D47" s="137"/>
      <c r="E47" s="139"/>
      <c r="F47" s="139"/>
      <c r="G47" s="15" t="s">
        <v>29</v>
      </c>
      <c r="H47" s="15" t="s">
        <v>30</v>
      </c>
      <c r="I47" s="132"/>
      <c r="J47" s="137"/>
      <c r="K47" s="148"/>
      <c r="L47" s="11"/>
      <c r="M47" s="10"/>
      <c r="N47" s="4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5" customHeight="1" x14ac:dyDescent="0.2">
      <c r="B48" s="136"/>
      <c r="C48" s="128" t="s">
        <v>53</v>
      </c>
      <c r="D48" s="133"/>
      <c r="E48" s="133"/>
      <c r="F48" s="133"/>
      <c r="G48" s="133"/>
      <c r="H48" s="133"/>
      <c r="I48" s="129"/>
      <c r="J48" s="147" t="s">
        <v>4</v>
      </c>
      <c r="K48" s="147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1.25" customHeight="1" x14ac:dyDescent="0.2">
      <c r="B49" s="14">
        <v>1</v>
      </c>
      <c r="C49" s="16">
        <v>2</v>
      </c>
      <c r="D49" s="16">
        <v>3</v>
      </c>
      <c r="E49" s="16">
        <v>4</v>
      </c>
      <c r="F49" s="14">
        <v>5</v>
      </c>
      <c r="G49" s="14">
        <v>6</v>
      </c>
      <c r="H49" s="16">
        <v>7</v>
      </c>
      <c r="I49" s="16">
        <v>8</v>
      </c>
      <c r="J49" s="14">
        <v>9</v>
      </c>
      <c r="K49" s="16">
        <v>10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27" customHeight="1" x14ac:dyDescent="0.2">
      <c r="B50" s="95" t="s">
        <v>37</v>
      </c>
      <c r="C50" s="61">
        <f>44819637138.32</f>
        <v>44819637138.32</v>
      </c>
      <c r="D50" s="72">
        <f>22623995172.2</f>
        <v>22623995172.200001</v>
      </c>
      <c r="E50" s="72">
        <f>36191305668.85</f>
        <v>36191305668.849998</v>
      </c>
      <c r="F50" s="61">
        <f>1023079244.65</f>
        <v>1023079244.65</v>
      </c>
      <c r="G50" s="61">
        <f>29808.25</f>
        <v>29808.25</v>
      </c>
      <c r="H50" s="61">
        <f>52083320.38</f>
        <v>52083320.380000003</v>
      </c>
      <c r="I50" s="73">
        <f>0</f>
        <v>0</v>
      </c>
      <c r="J50" s="47">
        <f>IF($D$50=0,"",100*$D50/$D$50)</f>
        <v>100</v>
      </c>
      <c r="K50" s="47">
        <f>IF(C50=0,"",100*D50/C50)</f>
        <v>50.477863313303985</v>
      </c>
      <c r="L50" s="34"/>
      <c r="O50" s="88"/>
    </row>
    <row r="51" spans="2:26" x14ac:dyDescent="0.2">
      <c r="B51" s="96" t="s">
        <v>14</v>
      </c>
      <c r="C51" s="23">
        <f>18890784285.3</f>
        <v>18890784285.299999</v>
      </c>
      <c r="D51" s="23">
        <f>6770122383.08999</f>
        <v>6770122383.0899897</v>
      </c>
      <c r="E51" s="23">
        <f>14500656609.64</f>
        <v>14500656609.639999</v>
      </c>
      <c r="F51" s="23">
        <f>567381377.77</f>
        <v>567381377.76999998</v>
      </c>
      <c r="G51" s="23">
        <f>16766</f>
        <v>16766</v>
      </c>
      <c r="H51" s="23">
        <f>152768</f>
        <v>152768</v>
      </c>
      <c r="I51" s="74">
        <f>0</f>
        <v>0</v>
      </c>
      <c r="J51" s="47">
        <f t="shared" ref="J51:J59" si="2">IF($D$50=0,"",100*$D51/$D$50)</f>
        <v>29.924521869634269</v>
      </c>
      <c r="K51" s="47">
        <f t="shared" ref="K51:K59" si="3">IF(C51=0,"",100*D51/C51)</f>
        <v>35.838228211404704</v>
      </c>
      <c r="L51" s="34"/>
      <c r="O51" s="81"/>
    </row>
    <row r="52" spans="2:26" ht="12.75" customHeight="1" outlineLevel="1" x14ac:dyDescent="0.2">
      <c r="B52" s="28" t="s">
        <v>13</v>
      </c>
      <c r="C52" s="20">
        <f>18012451270.3</f>
        <v>18012451270.299999</v>
      </c>
      <c r="D52" s="20">
        <f>6386914463.57999</f>
        <v>6386914463.5799904</v>
      </c>
      <c r="E52" s="20">
        <f>14086853473.63</f>
        <v>14086853473.629999</v>
      </c>
      <c r="F52" s="20">
        <f>567381377.77</f>
        <v>567381377.76999998</v>
      </c>
      <c r="G52" s="20">
        <f>16766</f>
        <v>16766</v>
      </c>
      <c r="H52" s="20">
        <f>152768</f>
        <v>152768</v>
      </c>
      <c r="I52" s="75">
        <f>0</f>
        <v>0</v>
      </c>
      <c r="J52" s="47">
        <f t="shared" si="2"/>
        <v>28.230709982771423</v>
      </c>
      <c r="K52" s="47">
        <f t="shared" si="3"/>
        <v>35.458330283514016</v>
      </c>
      <c r="L52" s="34"/>
      <c r="O52" s="87"/>
    </row>
    <row r="53" spans="2:26" ht="27" customHeight="1" x14ac:dyDescent="0.2">
      <c r="B53" s="96" t="s">
        <v>38</v>
      </c>
      <c r="C53" s="23">
        <f t="shared" ref="C53:I53" si="4">C50-C51</f>
        <v>25928852853.02</v>
      </c>
      <c r="D53" s="23">
        <f>D50-D51</f>
        <v>15853872789.110012</v>
      </c>
      <c r="E53" s="23">
        <f>E50-E51</f>
        <v>21690649059.209999</v>
      </c>
      <c r="F53" s="23">
        <f t="shared" si="4"/>
        <v>455697866.88</v>
      </c>
      <c r="G53" s="23">
        <f t="shared" si="4"/>
        <v>13042.25</v>
      </c>
      <c r="H53" s="23">
        <f t="shared" si="4"/>
        <v>51930552.380000003</v>
      </c>
      <c r="I53" s="74">
        <f t="shared" si="4"/>
        <v>0</v>
      </c>
      <c r="J53" s="47">
        <f t="shared" si="2"/>
        <v>70.075478130365738</v>
      </c>
      <c r="K53" s="47">
        <f t="shared" si="3"/>
        <v>61.143749316559024</v>
      </c>
      <c r="L53" s="34"/>
      <c r="O53" s="81"/>
    </row>
    <row r="54" spans="2:26" ht="22.5" outlineLevel="1" x14ac:dyDescent="0.2">
      <c r="B54" s="28" t="s">
        <v>72</v>
      </c>
      <c r="C54" s="20">
        <f>6533561117.29</f>
        <v>6533561117.29</v>
      </c>
      <c r="D54" s="20">
        <f>4430452436.3</f>
        <v>4430452436.3000002</v>
      </c>
      <c r="E54" s="20">
        <f>5920391175.78999</f>
        <v>5920391175.7899904</v>
      </c>
      <c r="F54" s="20">
        <f>82186404.2699998</f>
        <v>82186404.269999802</v>
      </c>
      <c r="G54" s="20">
        <f>3458.4</f>
        <v>3458.4</v>
      </c>
      <c r="H54" s="20">
        <f>0</f>
        <v>0</v>
      </c>
      <c r="I54" s="75">
        <f>0</f>
        <v>0</v>
      </c>
      <c r="J54" s="47">
        <f t="shared" si="2"/>
        <v>19.582979940448663</v>
      </c>
      <c r="K54" s="47">
        <f t="shared" si="3"/>
        <v>67.810683282284344</v>
      </c>
      <c r="L54" s="34"/>
      <c r="O54" s="87"/>
    </row>
    <row r="55" spans="2:26" ht="12.75" customHeight="1" outlineLevel="1" x14ac:dyDescent="0.2">
      <c r="B55" s="60" t="s">
        <v>28</v>
      </c>
      <c r="C55" s="62">
        <f>10820598586.51</f>
        <v>10820598586.51</v>
      </c>
      <c r="D55" s="62">
        <f>7511772824.63</f>
        <v>7511772824.6300001</v>
      </c>
      <c r="E55" s="62">
        <f>9788548958.44</f>
        <v>9788548958.4400005</v>
      </c>
      <c r="F55" s="62">
        <f>52439250.14</f>
        <v>52439250.140000001</v>
      </c>
      <c r="G55" s="62">
        <f>0</f>
        <v>0</v>
      </c>
      <c r="H55" s="62">
        <f>32205868.5</f>
        <v>32205868.5</v>
      </c>
      <c r="I55" s="76">
        <f>0</f>
        <v>0</v>
      </c>
      <c r="J55" s="47">
        <f t="shared" si="2"/>
        <v>33.202680461408271</v>
      </c>
      <c r="K55" s="47">
        <f t="shared" si="3"/>
        <v>69.421046946468365</v>
      </c>
      <c r="L55" s="34"/>
      <c r="O55" s="81"/>
    </row>
    <row r="56" spans="2:26" ht="12.75" customHeight="1" outlineLevel="1" x14ac:dyDescent="0.2">
      <c r="B56" s="60" t="s">
        <v>27</v>
      </c>
      <c r="C56" s="21">
        <f>323245349.23</f>
        <v>323245349.23000002</v>
      </c>
      <c r="D56" s="21">
        <f>168997968.95</f>
        <v>168997968.94999999</v>
      </c>
      <c r="E56" s="21">
        <f>252911609.19</f>
        <v>252911609.19</v>
      </c>
      <c r="F56" s="21">
        <f>8807308.99</f>
        <v>8807308.9900000002</v>
      </c>
      <c r="G56" s="21">
        <f>0</f>
        <v>0</v>
      </c>
      <c r="H56" s="21">
        <f>0</f>
        <v>0</v>
      </c>
      <c r="I56" s="77">
        <f>0</f>
        <v>0</v>
      </c>
      <c r="J56" s="47">
        <f t="shared" si="2"/>
        <v>0.74698552427938081</v>
      </c>
      <c r="K56" s="47">
        <f t="shared" si="3"/>
        <v>52.281639736679459</v>
      </c>
      <c r="L56" s="34"/>
      <c r="O56" s="87"/>
    </row>
    <row r="57" spans="2:26" ht="22.5" customHeight="1" outlineLevel="1" x14ac:dyDescent="0.2">
      <c r="B57" s="60" t="s">
        <v>44</v>
      </c>
      <c r="C57" s="62">
        <f>82746005.48</f>
        <v>82746005.480000004</v>
      </c>
      <c r="D57" s="62">
        <f>13231669.32</f>
        <v>13231669.32</v>
      </c>
      <c r="E57" s="62">
        <f>19231330.33</f>
        <v>19231330.329999998</v>
      </c>
      <c r="F57" s="62">
        <f>0</f>
        <v>0</v>
      </c>
      <c r="G57" s="62">
        <f>0</f>
        <v>0</v>
      </c>
      <c r="H57" s="62">
        <f>0</f>
        <v>0</v>
      </c>
      <c r="I57" s="76">
        <f>0</f>
        <v>0</v>
      </c>
      <c r="J57" s="47">
        <f t="shared" si="2"/>
        <v>5.848511378865065E-2</v>
      </c>
      <c r="K57" s="47">
        <f t="shared" si="3"/>
        <v>15.990704618603178</v>
      </c>
      <c r="L57" s="34"/>
      <c r="O57" s="81"/>
    </row>
    <row r="58" spans="2:26" ht="22.5" outlineLevel="1" x14ac:dyDescent="0.2">
      <c r="B58" s="60" t="s">
        <v>45</v>
      </c>
      <c r="C58" s="62">
        <f>273802879.8</f>
        <v>273802879.80000001</v>
      </c>
      <c r="D58" s="62">
        <f>152336523.97</f>
        <v>152336523.97</v>
      </c>
      <c r="E58" s="62">
        <f>208346301.78</f>
        <v>208346301.78</v>
      </c>
      <c r="F58" s="62">
        <f>768401.23</f>
        <v>768401.23</v>
      </c>
      <c r="G58" s="62">
        <f>0</f>
        <v>0</v>
      </c>
      <c r="H58" s="62">
        <f>0</f>
        <v>0</v>
      </c>
      <c r="I58" s="69">
        <f>0</f>
        <v>0</v>
      </c>
      <c r="J58" s="47">
        <f t="shared" si="2"/>
        <v>0.67334050776844512</v>
      </c>
      <c r="K58" s="47">
        <f t="shared" si="3"/>
        <v>55.637297928084095</v>
      </c>
      <c r="L58" s="34"/>
      <c r="O58" s="81"/>
    </row>
    <row r="59" spans="2:26" ht="12.75" customHeight="1" outlineLevel="1" x14ac:dyDescent="0.2">
      <c r="B59" s="60" t="s">
        <v>26</v>
      </c>
      <c r="C59" s="21">
        <f t="shared" ref="C59:I59" si="5">C53-C54-C55-C56-C57-C58</f>
        <v>7894898914.71</v>
      </c>
      <c r="D59" s="21">
        <f>D53-D54-D55-D56-D57-D58</f>
        <v>3577081365.9400129</v>
      </c>
      <c r="E59" s="78">
        <f>E53-E54-E55-E56-E57-E58</f>
        <v>5501219683.6800098</v>
      </c>
      <c r="F59" s="78">
        <f t="shared" si="5"/>
        <v>311496502.25000018</v>
      </c>
      <c r="G59" s="78">
        <f t="shared" si="5"/>
        <v>9583.85</v>
      </c>
      <c r="H59" s="78">
        <f t="shared" si="5"/>
        <v>19724683.880000003</v>
      </c>
      <c r="I59" s="79">
        <f t="shared" si="5"/>
        <v>0</v>
      </c>
      <c r="J59" s="80">
        <f t="shared" si="2"/>
        <v>15.811006582672332</v>
      </c>
      <c r="K59" s="47">
        <f t="shared" si="3"/>
        <v>45.308767149318314</v>
      </c>
      <c r="L59" s="34"/>
      <c r="O59" s="87"/>
    </row>
    <row r="60" spans="2:26" x14ac:dyDescent="0.2">
      <c r="B60" s="17" t="s">
        <v>15</v>
      </c>
      <c r="C60" s="114">
        <f>C5-C50</f>
        <v>-4896468384.3499985</v>
      </c>
      <c r="D60" s="114">
        <f>D5-D50</f>
        <v>5915514012.7900009</v>
      </c>
      <c r="E60" s="84"/>
      <c r="F60" s="85"/>
      <c r="G60" s="85"/>
      <c r="H60" s="85"/>
      <c r="I60" s="146"/>
      <c r="J60" s="146"/>
      <c r="K60" s="25"/>
      <c r="L60" s="25"/>
      <c r="M60" s="51"/>
    </row>
    <row r="61" spans="2:26" ht="25.5" x14ac:dyDescent="0.2">
      <c r="B61" s="125" t="s">
        <v>111</v>
      </c>
      <c r="C61" s="114">
        <f>+C41-C53</f>
        <v>6345022649.3199997</v>
      </c>
      <c r="D61" s="114">
        <f>+D41-D53</f>
        <v>9059117419.7599907</v>
      </c>
      <c r="E61" s="83"/>
      <c r="F61" s="82"/>
      <c r="G61" s="82"/>
      <c r="H61" s="82"/>
      <c r="I61" s="134"/>
      <c r="J61" s="135"/>
      <c r="K61" s="34"/>
      <c r="L61" s="52"/>
      <c r="M61" s="52"/>
    </row>
    <row r="62" spans="2:26" ht="13.5" customHeight="1" outlineLevel="1" x14ac:dyDescent="0.2">
      <c r="B62" s="53"/>
      <c r="C62" s="54"/>
      <c r="D62" s="54"/>
      <c r="E62" s="54"/>
      <c r="F62" s="18"/>
      <c r="G62" s="18"/>
      <c r="H62" s="18"/>
      <c r="I62" s="18"/>
      <c r="J62" s="34"/>
      <c r="K62" s="34"/>
      <c r="L62" s="52"/>
      <c r="M62" s="52"/>
    </row>
    <row r="63" spans="2:26" ht="13.5" customHeight="1" outlineLevel="1" x14ac:dyDescent="0.2">
      <c r="B63" s="53"/>
      <c r="C63" s="54"/>
      <c r="D63" s="54"/>
      <c r="E63" s="54"/>
      <c r="F63" s="18"/>
      <c r="G63" s="18"/>
      <c r="H63" s="18"/>
      <c r="I63" s="18"/>
      <c r="J63" s="34"/>
      <c r="K63" s="34"/>
      <c r="L63" s="52"/>
      <c r="M63" s="52"/>
    </row>
    <row r="64" spans="2:26" outlineLevel="1" x14ac:dyDescent="0.2">
      <c r="B64" s="126" t="s">
        <v>106</v>
      </c>
      <c r="C64" s="127" t="s">
        <v>102</v>
      </c>
      <c r="D64" s="127"/>
      <c r="E64" s="127" t="s">
        <v>103</v>
      </c>
      <c r="F64" s="127"/>
      <c r="G64" s="120" t="s">
        <v>107</v>
      </c>
      <c r="H64" s="18"/>
      <c r="I64" s="18"/>
      <c r="J64" s="34"/>
      <c r="K64" s="34"/>
      <c r="L64" s="52"/>
      <c r="M64" s="52"/>
    </row>
    <row r="65" spans="2:13" outlineLevel="1" x14ac:dyDescent="0.2">
      <c r="B65" s="126"/>
      <c r="C65" s="121" t="s">
        <v>104</v>
      </c>
      <c r="D65" s="121" t="s">
        <v>105</v>
      </c>
      <c r="E65" s="121" t="s">
        <v>104</v>
      </c>
      <c r="F65" s="121" t="s">
        <v>105</v>
      </c>
      <c r="G65" s="121" t="s">
        <v>104</v>
      </c>
      <c r="H65" s="18"/>
      <c r="I65" s="18"/>
      <c r="J65" s="34"/>
      <c r="K65" s="34"/>
      <c r="L65" s="52"/>
      <c r="M65" s="52"/>
    </row>
    <row r="66" spans="2:13" outlineLevel="1" x14ac:dyDescent="0.2">
      <c r="B66" s="122" t="s">
        <v>108</v>
      </c>
      <c r="C66" s="123">
        <f>1</f>
        <v>1</v>
      </c>
      <c r="D66" s="124">
        <f>138004166</f>
        <v>138004166</v>
      </c>
      <c r="E66" s="123">
        <f>15</f>
        <v>15</v>
      </c>
      <c r="F66" s="124">
        <f>+-5034472550.35</f>
        <v>-5034472550.3500004</v>
      </c>
      <c r="G66" s="123">
        <f>0</f>
        <v>0</v>
      </c>
      <c r="H66" s="18"/>
      <c r="I66" s="18"/>
      <c r="J66" s="34"/>
      <c r="K66" s="34"/>
      <c r="L66" s="52"/>
      <c r="M66" s="52"/>
    </row>
    <row r="67" spans="2:13" outlineLevel="1" x14ac:dyDescent="0.2">
      <c r="B67" s="122" t="s">
        <v>109</v>
      </c>
      <c r="C67" s="123">
        <f>16</f>
        <v>16</v>
      </c>
      <c r="D67" s="124">
        <f>5915514012.79</f>
        <v>5915514012.79</v>
      </c>
      <c r="E67" s="123">
        <f>0</f>
        <v>0</v>
      </c>
      <c r="F67" s="124">
        <f>0</f>
        <v>0</v>
      </c>
      <c r="G67" s="123">
        <f>0</f>
        <v>0</v>
      </c>
      <c r="H67" s="18"/>
      <c r="I67" s="18"/>
      <c r="J67" s="34"/>
      <c r="K67" s="34"/>
      <c r="L67" s="52"/>
      <c r="M67" s="52"/>
    </row>
    <row r="68" spans="2:13" outlineLevel="1" x14ac:dyDescent="0.2">
      <c r="B68" s="34"/>
      <c r="C68" s="34"/>
      <c r="D68" s="34"/>
      <c r="E68" s="34"/>
      <c r="F68" s="34"/>
      <c r="G68" s="34"/>
      <c r="H68" s="18"/>
      <c r="I68" s="18"/>
      <c r="J68" s="34"/>
      <c r="K68" s="34"/>
      <c r="L68" s="52"/>
      <c r="M68" s="52"/>
    </row>
    <row r="69" spans="2:13" outlineLevel="1" x14ac:dyDescent="0.2">
      <c r="B69" s="126" t="s">
        <v>110</v>
      </c>
      <c r="C69" s="127" t="s">
        <v>102</v>
      </c>
      <c r="D69" s="127"/>
      <c r="E69" s="127" t="s">
        <v>103</v>
      </c>
      <c r="F69" s="127"/>
      <c r="G69" s="120" t="s">
        <v>107</v>
      </c>
      <c r="H69" s="18"/>
      <c r="I69" s="18"/>
      <c r="J69" s="34"/>
      <c r="K69" s="34"/>
      <c r="L69" s="52"/>
      <c r="M69" s="52"/>
    </row>
    <row r="70" spans="2:13" outlineLevel="1" x14ac:dyDescent="0.2">
      <c r="B70" s="126"/>
      <c r="C70" s="121" t="s">
        <v>104</v>
      </c>
      <c r="D70" s="121" t="s">
        <v>105</v>
      </c>
      <c r="E70" s="121" t="s">
        <v>104</v>
      </c>
      <c r="F70" s="121" t="s">
        <v>105</v>
      </c>
      <c r="G70" s="121" t="s">
        <v>104</v>
      </c>
      <c r="H70" s="18"/>
      <c r="I70" s="18"/>
      <c r="J70" s="34"/>
      <c r="K70" s="34"/>
      <c r="L70" s="52"/>
      <c r="M70" s="52"/>
    </row>
    <row r="71" spans="2:13" outlineLevel="1" x14ac:dyDescent="0.2">
      <c r="B71" s="122" t="s">
        <v>108</v>
      </c>
      <c r="C71" s="123">
        <f>16</f>
        <v>16</v>
      </c>
      <c r="D71" s="124">
        <f>6345022649.32</f>
        <v>6345022649.3199997</v>
      </c>
      <c r="E71" s="123">
        <f>0</f>
        <v>0</v>
      </c>
      <c r="F71" s="124">
        <f>0</f>
        <v>0</v>
      </c>
      <c r="G71" s="123">
        <f>0</f>
        <v>0</v>
      </c>
      <c r="H71" s="18"/>
      <c r="I71" s="18"/>
      <c r="J71" s="34"/>
      <c r="K71" s="34"/>
      <c r="L71" s="52"/>
      <c r="M71" s="52"/>
    </row>
    <row r="72" spans="2:13" outlineLevel="1" x14ac:dyDescent="0.2">
      <c r="B72" s="122" t="s">
        <v>109</v>
      </c>
      <c r="C72" s="123">
        <f>16</f>
        <v>16</v>
      </c>
      <c r="D72" s="124">
        <f>9059117419.76</f>
        <v>9059117419.7600002</v>
      </c>
      <c r="E72" s="123">
        <f>0</f>
        <v>0</v>
      </c>
      <c r="F72" s="124">
        <f>0</f>
        <v>0</v>
      </c>
      <c r="G72" s="123">
        <f>0</f>
        <v>0</v>
      </c>
      <c r="H72" s="18"/>
      <c r="I72" s="18"/>
      <c r="J72" s="34"/>
      <c r="K72" s="34"/>
      <c r="L72" s="52"/>
      <c r="M72" s="52"/>
    </row>
    <row r="73" spans="2:13" ht="13.5" customHeight="1" outlineLevel="1" x14ac:dyDescent="0.2">
      <c r="B73" s="53"/>
      <c r="C73" s="54"/>
      <c r="D73" s="54"/>
      <c r="E73" s="54"/>
      <c r="F73" s="18"/>
      <c r="G73" s="18"/>
      <c r="H73" s="18"/>
      <c r="I73" s="18"/>
      <c r="J73" s="34"/>
      <c r="K73" s="34"/>
      <c r="L73" s="52"/>
      <c r="M73" s="52"/>
    </row>
    <row r="74" spans="2:13" ht="13.5" customHeight="1" x14ac:dyDescent="0.2">
      <c r="B74" s="53"/>
      <c r="C74" s="54"/>
      <c r="D74" s="54"/>
      <c r="E74" s="54"/>
      <c r="F74" s="18"/>
      <c r="G74" s="18"/>
      <c r="H74" s="18"/>
      <c r="I74" s="18"/>
      <c r="J74" s="34"/>
      <c r="K74" s="34"/>
      <c r="L74" s="52"/>
      <c r="M74" s="52"/>
    </row>
    <row r="75" spans="2:13" ht="12" customHeight="1" x14ac:dyDescent="0.2">
      <c r="B75" s="115" t="s">
        <v>89</v>
      </c>
      <c r="C75" s="54"/>
      <c r="D75" s="54"/>
      <c r="E75" s="54"/>
      <c r="F75" s="18"/>
      <c r="G75" s="18"/>
      <c r="H75" s="18"/>
      <c r="I75" s="18"/>
      <c r="J75" s="34"/>
      <c r="K75" s="34"/>
      <c r="L75" s="52"/>
      <c r="M75" s="52"/>
    </row>
    <row r="76" spans="2:13" ht="27" customHeight="1" x14ac:dyDescent="0.2">
      <c r="B76" s="116" t="s">
        <v>62</v>
      </c>
      <c r="C76" s="114">
        <f>10188582069.88</f>
        <v>10188582069.879999</v>
      </c>
      <c r="D76" s="114">
        <f>4373172446.60999</f>
        <v>4373172446.6099901</v>
      </c>
      <c r="E76" s="23">
        <f>7766316867.62</f>
        <v>7766316867.6199999</v>
      </c>
      <c r="F76" s="23">
        <f>198608078.95</f>
        <v>198608078.94999999</v>
      </c>
      <c r="G76" s="23">
        <f>0</f>
        <v>0</v>
      </c>
      <c r="H76" s="23">
        <f>0</f>
        <v>0</v>
      </c>
      <c r="I76" s="86">
        <f>0</f>
        <v>0</v>
      </c>
      <c r="J76" s="32">
        <f>IF($D$76=0,"",100*$D76/$D$76)</f>
        <v>100</v>
      </c>
      <c r="K76" s="32">
        <f>IF(C76=0,"",100*D76/C76)</f>
        <v>42.922287091725778</v>
      </c>
      <c r="L76" s="52"/>
    </row>
    <row r="77" spans="2:13" ht="12.75" customHeight="1" x14ac:dyDescent="0.2">
      <c r="B77" s="100" t="s">
        <v>51</v>
      </c>
      <c r="C77" s="62">
        <f>5683469165.44</f>
        <v>5683469165.4399996</v>
      </c>
      <c r="D77" s="62">
        <f>2093231358.86</f>
        <v>2093231358.8599999</v>
      </c>
      <c r="E77" s="62">
        <f>4498797696.99</f>
        <v>4498797696.9899998</v>
      </c>
      <c r="F77" s="62">
        <f>158241614.65</f>
        <v>158241614.65000001</v>
      </c>
      <c r="G77" s="62">
        <f>0</f>
        <v>0</v>
      </c>
      <c r="H77" s="62">
        <f>0</f>
        <v>0</v>
      </c>
      <c r="I77" s="69">
        <f>0</f>
        <v>0</v>
      </c>
      <c r="J77" s="32">
        <f>IF($D$76=0,"",100*$D77/$D$76)</f>
        <v>47.865282799049872</v>
      </c>
      <c r="K77" s="32">
        <f>IF(C77=0,"",100*D77/C77)</f>
        <v>36.830170058606228</v>
      </c>
      <c r="L77" s="34"/>
    </row>
    <row r="78" spans="2:13" ht="12.75" customHeight="1" x14ac:dyDescent="0.2">
      <c r="B78" s="100" t="s">
        <v>52</v>
      </c>
      <c r="C78" s="62">
        <f t="shared" ref="C78:I78" si="6">C76-C77</f>
        <v>4505112904.4399996</v>
      </c>
      <c r="D78" s="62">
        <f t="shared" si="6"/>
        <v>2279941087.7499905</v>
      </c>
      <c r="E78" s="62">
        <f t="shared" si="6"/>
        <v>3267519170.6300001</v>
      </c>
      <c r="F78" s="62">
        <f t="shared" si="6"/>
        <v>40366464.299999982</v>
      </c>
      <c r="G78" s="62">
        <f t="shared" si="6"/>
        <v>0</v>
      </c>
      <c r="H78" s="62">
        <f t="shared" si="6"/>
        <v>0</v>
      </c>
      <c r="I78" s="71">
        <f t="shared" si="6"/>
        <v>0</v>
      </c>
      <c r="J78" s="32">
        <f>IF($D$76=0,"",100*$D78/$D$76)</f>
        <v>52.134717200950142</v>
      </c>
      <c r="K78" s="32">
        <f>IF(C78=0,"",100*D78/C78)</f>
        <v>50.6078568087162</v>
      </c>
      <c r="L78" s="34"/>
    </row>
    <row r="79" spans="2:13" ht="18" customHeight="1" x14ac:dyDescent="0.2">
      <c r="B79" s="99" t="str">
        <f>CONCATENATE("Informacja z wykonania budżetów województw za ",$D$115," ",$C$116," rok    ",$C$118,"")</f>
        <v xml:space="preserve">Informacja z wykonania budżetów województw za III Kwartały 2025 rok    </v>
      </c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</row>
    <row r="80" spans="2:13" ht="6" customHeight="1" x14ac:dyDescent="0.2"/>
    <row r="81" spans="2:11" x14ac:dyDescent="0.2">
      <c r="B81" s="37" t="s">
        <v>16</v>
      </c>
      <c r="C81" s="70" t="s">
        <v>17</v>
      </c>
      <c r="D81" s="70" t="s">
        <v>1</v>
      </c>
      <c r="E81" s="153" t="s">
        <v>79</v>
      </c>
      <c r="F81" s="154"/>
      <c r="G81" s="154"/>
      <c r="H81" s="154"/>
      <c r="I81" s="155"/>
      <c r="J81" s="16" t="s">
        <v>21</v>
      </c>
      <c r="K81" s="16" t="s">
        <v>22</v>
      </c>
    </row>
    <row r="82" spans="2:11" x14ac:dyDescent="0.2">
      <c r="B82" s="37"/>
      <c r="C82" s="138" t="s">
        <v>53</v>
      </c>
      <c r="D82" s="152"/>
      <c r="E82" s="156"/>
      <c r="F82" s="157"/>
      <c r="G82" s="157"/>
      <c r="H82" s="157"/>
      <c r="I82" s="158"/>
      <c r="J82" s="162" t="s">
        <v>4</v>
      </c>
      <c r="K82" s="163"/>
    </row>
    <row r="83" spans="2:11" x14ac:dyDescent="0.2">
      <c r="B83" s="35">
        <v>1</v>
      </c>
      <c r="C83" s="89">
        <v>2</v>
      </c>
      <c r="D83" s="89">
        <v>3</v>
      </c>
      <c r="E83" s="159"/>
      <c r="F83" s="160"/>
      <c r="G83" s="160"/>
      <c r="H83" s="160"/>
      <c r="I83" s="161"/>
      <c r="J83" s="36">
        <v>4</v>
      </c>
      <c r="K83" s="36">
        <v>5</v>
      </c>
    </row>
    <row r="84" spans="2:11" ht="27" customHeight="1" x14ac:dyDescent="0.2">
      <c r="B84" s="90" t="s">
        <v>39</v>
      </c>
      <c r="C84" s="39">
        <f>6642957342.45</f>
        <v>6642957342.4499998</v>
      </c>
      <c r="D84" s="39">
        <f>6694326723.82</f>
        <v>6694326723.8199997</v>
      </c>
      <c r="E84" s="107" t="s">
        <v>79</v>
      </c>
      <c r="F84" s="107" t="s">
        <v>79</v>
      </c>
      <c r="G84" s="107" t="s">
        <v>79</v>
      </c>
      <c r="H84" s="107" t="s">
        <v>79</v>
      </c>
      <c r="I84" s="107" t="s">
        <v>79</v>
      </c>
      <c r="J84" s="38">
        <f>IF($D$84=0,"",100*$D84/$D$84)</f>
        <v>100</v>
      </c>
      <c r="K84" s="31">
        <f t="shared" ref="K84:K98" si="7">IF(C84=0,"",100*D84/C84)</f>
        <v>100.77329085107529</v>
      </c>
    </row>
    <row r="85" spans="2:11" ht="33.75" x14ac:dyDescent="0.2">
      <c r="B85" s="104" t="s">
        <v>94</v>
      </c>
      <c r="C85" s="40">
        <f>2094389953.91</f>
        <v>2094389953.9100001</v>
      </c>
      <c r="D85" s="40">
        <f>0</f>
        <v>0</v>
      </c>
      <c r="E85" s="108" t="s">
        <v>79</v>
      </c>
      <c r="F85" s="108" t="s">
        <v>79</v>
      </c>
      <c r="G85" s="108" t="s">
        <v>79</v>
      </c>
      <c r="H85" s="108" t="s">
        <v>79</v>
      </c>
      <c r="I85" s="108" t="s">
        <v>79</v>
      </c>
      <c r="J85" s="45">
        <f t="shared" ref="J85:J94" si="8">IF($D$84=0,"",100*$D85/$D$84)</f>
        <v>0</v>
      </c>
      <c r="K85" s="46">
        <f t="shared" si="7"/>
        <v>0</v>
      </c>
    </row>
    <row r="86" spans="2:11" ht="22.5" x14ac:dyDescent="0.2">
      <c r="B86" s="105" t="s">
        <v>63</v>
      </c>
      <c r="C86" s="64">
        <f>720956482.91</f>
        <v>720956482.90999997</v>
      </c>
      <c r="D86" s="64">
        <f>0</f>
        <v>0</v>
      </c>
      <c r="E86" s="108" t="s">
        <v>79</v>
      </c>
      <c r="F86" s="108" t="s">
        <v>79</v>
      </c>
      <c r="G86" s="108" t="s">
        <v>79</v>
      </c>
      <c r="H86" s="108" t="s">
        <v>79</v>
      </c>
      <c r="I86" s="108" t="s">
        <v>79</v>
      </c>
      <c r="J86" s="65">
        <f t="shared" si="8"/>
        <v>0</v>
      </c>
      <c r="K86" s="66">
        <f t="shared" si="7"/>
        <v>0</v>
      </c>
    </row>
    <row r="87" spans="2:11" ht="12.75" customHeight="1" x14ac:dyDescent="0.2">
      <c r="B87" s="63" t="s">
        <v>64</v>
      </c>
      <c r="C87" s="64">
        <f>154352912</f>
        <v>154352912</v>
      </c>
      <c r="D87" s="64">
        <f>65611590.32</f>
        <v>65611590.32</v>
      </c>
      <c r="E87" s="108" t="s">
        <v>79</v>
      </c>
      <c r="F87" s="108" t="s">
        <v>79</v>
      </c>
      <c r="G87" s="108" t="s">
        <v>79</v>
      </c>
      <c r="H87" s="108" t="s">
        <v>79</v>
      </c>
      <c r="I87" s="108" t="s">
        <v>79</v>
      </c>
      <c r="J87" s="65">
        <f t="shared" si="8"/>
        <v>0.98010738087429206</v>
      </c>
      <c r="K87" s="66">
        <f t="shared" si="7"/>
        <v>42.507517007518459</v>
      </c>
    </row>
    <row r="88" spans="2:11" ht="46.5" customHeight="1" x14ac:dyDescent="0.2">
      <c r="B88" s="63" t="s">
        <v>73</v>
      </c>
      <c r="C88" s="64">
        <f>2011103436.73</f>
        <v>2011103436.73</v>
      </c>
      <c r="D88" s="64">
        <f>3209818489.52</f>
        <v>3209818489.52</v>
      </c>
      <c r="E88" s="108" t="s">
        <v>79</v>
      </c>
      <c r="F88" s="108" t="s">
        <v>79</v>
      </c>
      <c r="G88" s="108" t="s">
        <v>79</v>
      </c>
      <c r="H88" s="108" t="s">
        <v>79</v>
      </c>
      <c r="I88" s="108" t="s">
        <v>79</v>
      </c>
      <c r="J88" s="65">
        <f t="shared" si="8"/>
        <v>47.948339272098949</v>
      </c>
      <c r="K88" s="66">
        <f t="shared" si="7"/>
        <v>159.60484333610799</v>
      </c>
    </row>
    <row r="89" spans="2:11" ht="35.25" customHeight="1" x14ac:dyDescent="0.2">
      <c r="B89" s="63" t="s">
        <v>74</v>
      </c>
      <c r="C89" s="64">
        <f>528163028.91</f>
        <v>528163028.91000003</v>
      </c>
      <c r="D89" s="64">
        <f>684830763.38</f>
        <v>684830763.38</v>
      </c>
      <c r="E89" s="108" t="s">
        <v>79</v>
      </c>
      <c r="F89" s="108" t="s">
        <v>79</v>
      </c>
      <c r="G89" s="108" t="s">
        <v>79</v>
      </c>
      <c r="H89" s="108" t="s">
        <v>79</v>
      </c>
      <c r="I89" s="108" t="s">
        <v>79</v>
      </c>
      <c r="J89" s="65">
        <f t="shared" si="8"/>
        <v>10.230017022372243</v>
      </c>
      <c r="K89" s="66">
        <f t="shared" si="7"/>
        <v>129.66276052932446</v>
      </c>
    </row>
    <row r="90" spans="2:11" ht="12.75" customHeight="1" x14ac:dyDescent="0.2">
      <c r="B90" s="63" t="s">
        <v>65</v>
      </c>
      <c r="C90" s="64">
        <f>0</f>
        <v>0</v>
      </c>
      <c r="D90" s="64">
        <f>0</f>
        <v>0</v>
      </c>
      <c r="E90" s="108" t="s">
        <v>79</v>
      </c>
      <c r="F90" s="108" t="s">
        <v>79</v>
      </c>
      <c r="G90" s="108" t="s">
        <v>79</v>
      </c>
      <c r="H90" s="108" t="s">
        <v>79</v>
      </c>
      <c r="I90" s="108" t="s">
        <v>79</v>
      </c>
      <c r="J90" s="65">
        <f t="shared" si="8"/>
        <v>0</v>
      </c>
      <c r="K90" s="66" t="str">
        <f t="shared" si="7"/>
        <v/>
      </c>
    </row>
    <row r="91" spans="2:11" ht="33.75" x14ac:dyDescent="0.2">
      <c r="B91" s="63" t="s">
        <v>68</v>
      </c>
      <c r="C91" s="64">
        <f>1532236554.64</f>
        <v>1532236554.6400001</v>
      </c>
      <c r="D91" s="64">
        <f>2411354424.34</f>
        <v>2411354424.3400002</v>
      </c>
      <c r="E91" s="108" t="s">
        <v>79</v>
      </c>
      <c r="F91" s="108" t="s">
        <v>79</v>
      </c>
      <c r="G91" s="108" t="s">
        <v>79</v>
      </c>
      <c r="H91" s="108" t="s">
        <v>79</v>
      </c>
      <c r="I91" s="108" t="s">
        <v>79</v>
      </c>
      <c r="J91" s="65">
        <f t="shared" si="8"/>
        <v>36.020865485394218</v>
      </c>
      <c r="K91" s="66">
        <f t="shared" si="7"/>
        <v>157.37481376735261</v>
      </c>
    </row>
    <row r="92" spans="2:11" ht="56.25" x14ac:dyDescent="0.2">
      <c r="B92" s="63" t="s">
        <v>95</v>
      </c>
      <c r="C92" s="64">
        <f>0</f>
        <v>0</v>
      </c>
      <c r="D92" s="64">
        <f>0</f>
        <v>0</v>
      </c>
      <c r="E92" s="108" t="s">
        <v>79</v>
      </c>
      <c r="F92" s="108" t="s">
        <v>79</v>
      </c>
      <c r="G92" s="108" t="s">
        <v>79</v>
      </c>
      <c r="H92" s="108" t="s">
        <v>79</v>
      </c>
      <c r="I92" s="108" t="s">
        <v>79</v>
      </c>
      <c r="J92" s="65">
        <f t="shared" si="8"/>
        <v>0</v>
      </c>
      <c r="K92" s="66" t="str">
        <f>IF(C92=0,"",100*D92/C92)</f>
        <v/>
      </c>
    </row>
    <row r="93" spans="2:11" x14ac:dyDescent="0.2">
      <c r="B93" s="63" t="s">
        <v>90</v>
      </c>
      <c r="C93" s="64">
        <f>322711456.26</f>
        <v>322711456.25999999</v>
      </c>
      <c r="D93" s="64">
        <f>322711456.26</f>
        <v>322711456.25999999</v>
      </c>
      <c r="E93" s="108" t="s">
        <v>79</v>
      </c>
      <c r="F93" s="108" t="s">
        <v>79</v>
      </c>
      <c r="G93" s="108" t="s">
        <v>79</v>
      </c>
      <c r="H93" s="108" t="s">
        <v>79</v>
      </c>
      <c r="I93" s="108" t="s">
        <v>79</v>
      </c>
      <c r="J93" s="65">
        <f t="shared" si="8"/>
        <v>4.8206708392602984</v>
      </c>
      <c r="K93" s="66">
        <f>IF(C93=0,"",100*D93/C93)</f>
        <v>100</v>
      </c>
    </row>
    <row r="94" spans="2:11" ht="22.5" x14ac:dyDescent="0.2">
      <c r="B94" s="105" t="s">
        <v>91</v>
      </c>
      <c r="C94" s="64">
        <f>322711456.26</f>
        <v>322711456.25999999</v>
      </c>
      <c r="D94" s="64">
        <f>322711456.26</f>
        <v>322711456.25999999</v>
      </c>
      <c r="E94" s="108" t="s">
        <v>79</v>
      </c>
      <c r="F94" s="108" t="s">
        <v>79</v>
      </c>
      <c r="G94" s="108" t="s">
        <v>79</v>
      </c>
      <c r="H94" s="108" t="s">
        <v>79</v>
      </c>
      <c r="I94" s="108" t="s">
        <v>79</v>
      </c>
      <c r="J94" s="65">
        <f t="shared" si="8"/>
        <v>4.8206708392602984</v>
      </c>
      <c r="K94" s="66">
        <f>IF(C94=0,"",100*D94/C94)</f>
        <v>100</v>
      </c>
    </row>
    <row r="95" spans="2:11" ht="27" customHeight="1" x14ac:dyDescent="0.2">
      <c r="B95" s="90" t="s">
        <v>40</v>
      </c>
      <c r="C95" s="43">
        <f>1263572540.1</f>
        <v>1263572540.0999999</v>
      </c>
      <c r="D95" s="43">
        <f>1269254368.07</f>
        <v>1269254368.0699999</v>
      </c>
      <c r="E95" s="107" t="s">
        <v>79</v>
      </c>
      <c r="F95" s="107" t="s">
        <v>79</v>
      </c>
      <c r="G95" s="107" t="s">
        <v>79</v>
      </c>
      <c r="H95" s="107" t="s">
        <v>79</v>
      </c>
      <c r="I95" s="107" t="s">
        <v>79</v>
      </c>
      <c r="J95" s="38">
        <f t="shared" ref="J95:J100" si="9">IF($D$95=0,"",100*$D95/$D$95)</f>
        <v>100</v>
      </c>
      <c r="K95" s="31">
        <f t="shared" si="7"/>
        <v>100.44966377391759</v>
      </c>
    </row>
    <row r="96" spans="2:11" ht="24.75" customHeight="1" x14ac:dyDescent="0.2">
      <c r="B96" s="104" t="s">
        <v>66</v>
      </c>
      <c r="C96" s="40">
        <f>924954336.48</f>
        <v>924954336.48000002</v>
      </c>
      <c r="D96" s="42">
        <f>493205278.33</f>
        <v>493205278.32999998</v>
      </c>
      <c r="E96" s="108" t="s">
        <v>79</v>
      </c>
      <c r="F96" s="108" t="s">
        <v>79</v>
      </c>
      <c r="G96" s="108" t="s">
        <v>79</v>
      </c>
      <c r="H96" s="108" t="s">
        <v>79</v>
      </c>
      <c r="I96" s="108" t="s">
        <v>79</v>
      </c>
      <c r="J96" s="45">
        <f t="shared" si="9"/>
        <v>38.857875201166891</v>
      </c>
      <c r="K96" s="46">
        <f t="shared" si="7"/>
        <v>53.32212184732694</v>
      </c>
    </row>
    <row r="97" spans="2:11" ht="12.75" customHeight="1" x14ac:dyDescent="0.2">
      <c r="B97" s="105" t="s">
        <v>67</v>
      </c>
      <c r="C97" s="64">
        <f>133950000</f>
        <v>133950000</v>
      </c>
      <c r="D97" s="64">
        <f>0</f>
        <v>0</v>
      </c>
      <c r="E97" s="108" t="s">
        <v>79</v>
      </c>
      <c r="F97" s="108" t="s">
        <v>79</v>
      </c>
      <c r="G97" s="108" t="s">
        <v>79</v>
      </c>
      <c r="H97" s="108" t="s">
        <v>79</v>
      </c>
      <c r="I97" s="108" t="s">
        <v>79</v>
      </c>
      <c r="J97" s="65">
        <f t="shared" si="9"/>
        <v>0</v>
      </c>
      <c r="K97" s="66">
        <f t="shared" si="7"/>
        <v>0</v>
      </c>
    </row>
    <row r="98" spans="2:11" ht="12.75" customHeight="1" x14ac:dyDescent="0.2">
      <c r="B98" s="63" t="s">
        <v>75</v>
      </c>
      <c r="C98" s="64">
        <f>338618203.62</f>
        <v>338618203.62</v>
      </c>
      <c r="D98" s="64">
        <f>296049089.74</f>
        <v>296049089.74000001</v>
      </c>
      <c r="E98" s="108" t="s">
        <v>79</v>
      </c>
      <c r="F98" s="108" t="s">
        <v>79</v>
      </c>
      <c r="G98" s="108" t="s">
        <v>79</v>
      </c>
      <c r="H98" s="108" t="s">
        <v>79</v>
      </c>
      <c r="I98" s="108" t="s">
        <v>79</v>
      </c>
      <c r="J98" s="65">
        <f t="shared" si="9"/>
        <v>23.324646121972044</v>
      </c>
      <c r="K98" s="66">
        <f t="shared" si="7"/>
        <v>87.428580795446138</v>
      </c>
    </row>
    <row r="99" spans="2:11" ht="12.75" customHeight="1" x14ac:dyDescent="0.2">
      <c r="B99" s="63" t="s">
        <v>92</v>
      </c>
      <c r="C99" s="64">
        <f>0</f>
        <v>0</v>
      </c>
      <c r="D99" s="64">
        <f>480000000</f>
        <v>480000000</v>
      </c>
      <c r="E99" s="108" t="s">
        <v>79</v>
      </c>
      <c r="F99" s="108" t="s">
        <v>79</v>
      </c>
      <c r="G99" s="108" t="s">
        <v>79</v>
      </c>
      <c r="H99" s="108" t="s">
        <v>79</v>
      </c>
      <c r="I99" s="108" t="s">
        <v>79</v>
      </c>
      <c r="J99" s="65">
        <f t="shared" si="9"/>
        <v>37.817478676861072</v>
      </c>
      <c r="K99" s="66" t="str">
        <f>IF(C99=0,"",100*D99/C99)</f>
        <v/>
      </c>
    </row>
    <row r="100" spans="2:11" ht="22.5" x14ac:dyDescent="0.2">
      <c r="B100" s="105" t="s">
        <v>93</v>
      </c>
      <c r="C100" s="64">
        <f>0</f>
        <v>0</v>
      </c>
      <c r="D100" s="64">
        <f>0</f>
        <v>0</v>
      </c>
      <c r="E100" s="108" t="s">
        <v>79</v>
      </c>
      <c r="F100" s="108" t="s">
        <v>79</v>
      </c>
      <c r="G100" s="108" t="s">
        <v>79</v>
      </c>
      <c r="H100" s="108" t="s">
        <v>79</v>
      </c>
      <c r="I100" s="108" t="s">
        <v>79</v>
      </c>
      <c r="J100" s="65">
        <f t="shared" si="9"/>
        <v>0</v>
      </c>
      <c r="K100" s="66" t="str">
        <f>IF(C100=0,"",100*D100/C100)</f>
        <v/>
      </c>
    </row>
    <row r="102" spans="2:11" x14ac:dyDescent="0.2">
      <c r="B102" s="37" t="s">
        <v>16</v>
      </c>
      <c r="C102" s="70" t="s">
        <v>17</v>
      </c>
      <c r="D102" s="16" t="s">
        <v>1</v>
      </c>
    </row>
    <row r="103" spans="2:11" x14ac:dyDescent="0.2">
      <c r="B103" s="37"/>
      <c r="C103" s="138" t="s">
        <v>53</v>
      </c>
      <c r="D103" s="152"/>
    </row>
    <row r="104" spans="2:11" x14ac:dyDescent="0.2">
      <c r="B104" s="35">
        <v>1</v>
      </c>
      <c r="C104" s="89">
        <v>2</v>
      </c>
      <c r="D104" s="36">
        <v>3</v>
      </c>
    </row>
    <row r="105" spans="2:11" ht="36" customHeight="1" x14ac:dyDescent="0.2">
      <c r="B105" s="44" t="s">
        <v>96</v>
      </c>
      <c r="C105" s="41">
        <f>5034472550.35</f>
        <v>5034472550.3500004</v>
      </c>
      <c r="D105" s="24">
        <f>0</f>
        <v>0</v>
      </c>
    </row>
    <row r="106" spans="2:11" ht="33.75" x14ac:dyDescent="0.2">
      <c r="B106" s="106" t="s">
        <v>55</v>
      </c>
      <c r="C106" s="64">
        <f>460862030.91</f>
        <v>460862030.91000003</v>
      </c>
      <c r="D106" s="57">
        <f>0</f>
        <v>0</v>
      </c>
    </row>
    <row r="107" spans="2:11" ht="12.75" customHeight="1" x14ac:dyDescent="0.2">
      <c r="B107" s="106" t="s">
        <v>56</v>
      </c>
      <c r="C107" s="64">
        <f>1324586402</f>
        <v>1324586402</v>
      </c>
      <c r="D107" s="57">
        <f>0</f>
        <v>0</v>
      </c>
    </row>
    <row r="108" spans="2:11" ht="22.5" x14ac:dyDescent="0.2">
      <c r="B108" s="106" t="s">
        <v>57</v>
      </c>
      <c r="C108" s="64">
        <f>0</f>
        <v>0</v>
      </c>
      <c r="D108" s="57">
        <f>0</f>
        <v>0</v>
      </c>
    </row>
    <row r="109" spans="2:11" ht="56.25" x14ac:dyDescent="0.2">
      <c r="B109" s="106" t="s">
        <v>76</v>
      </c>
      <c r="C109" s="64">
        <f>1311461118.94</f>
        <v>1311461118.9400001</v>
      </c>
      <c r="D109" s="57">
        <f>0</f>
        <v>0</v>
      </c>
    </row>
    <row r="110" spans="2:11" ht="81" customHeight="1" x14ac:dyDescent="0.2">
      <c r="B110" s="106" t="s">
        <v>58</v>
      </c>
      <c r="C110" s="64">
        <f>1078721383.26</f>
        <v>1078721383.26</v>
      </c>
      <c r="D110" s="57">
        <f>0</f>
        <v>0</v>
      </c>
    </row>
    <row r="111" spans="2:11" ht="151.5" customHeight="1" x14ac:dyDescent="0.2">
      <c r="B111" s="106" t="s">
        <v>77</v>
      </c>
      <c r="C111" s="64">
        <f>477931469.98</f>
        <v>477931469.98000002</v>
      </c>
      <c r="D111" s="57">
        <f>0</f>
        <v>0</v>
      </c>
    </row>
    <row r="112" spans="2:11" ht="23.25" customHeight="1" x14ac:dyDescent="0.2">
      <c r="B112" s="106" t="s">
        <v>78</v>
      </c>
      <c r="C112" s="64">
        <f>58198689</f>
        <v>58198689</v>
      </c>
      <c r="D112" s="57">
        <f>0</f>
        <v>0</v>
      </c>
    </row>
    <row r="113" spans="2:4" ht="23.25" customHeight="1" x14ac:dyDescent="0.2">
      <c r="B113" s="119" t="s">
        <v>91</v>
      </c>
      <c r="C113" s="64">
        <f>322711456.26</f>
        <v>322711456.25999999</v>
      </c>
      <c r="D113" s="57">
        <f>0</f>
        <v>0</v>
      </c>
    </row>
    <row r="115" spans="2:4" x14ac:dyDescent="0.2">
      <c r="B115" s="33" t="s">
        <v>41</v>
      </c>
      <c r="C115" s="33">
        <f>3</f>
        <v>3</v>
      </c>
      <c r="D115" s="33" t="str">
        <f>IF(C115=1,"I Kwartał",IF(C115=2,"II Kwartały",IF(C115=3,"III Kwartały",IF(C115=4,"IV Kwartały",IF(C115="M1","Styczeń",IF(C115="M11","Listopad",IF(C115="M12","Grudzień","-")))))))</f>
        <v>III Kwartały</v>
      </c>
    </row>
    <row r="116" spans="2:4" x14ac:dyDescent="0.2">
      <c r="B116" s="33" t="s">
        <v>42</v>
      </c>
      <c r="C116" s="110">
        <f>2025</f>
        <v>2025</v>
      </c>
      <c r="D116" s="34"/>
    </row>
    <row r="117" spans="2:4" x14ac:dyDescent="0.2">
      <c r="B117" s="33" t="s">
        <v>43</v>
      </c>
      <c r="C117" s="149" t="str">
        <f>"Nov 14 2025 12:00AM"</f>
        <v>Nov 14 2025 12:00AM</v>
      </c>
      <c r="D117" s="150"/>
    </row>
    <row r="118" spans="2:4" hidden="1" x14ac:dyDescent="0.2">
      <c r="B118" s="33" t="s">
        <v>48</v>
      </c>
      <c r="C118" s="111" t="str">
        <f>""</f>
        <v/>
      </c>
      <c r="D118" s="34"/>
    </row>
  </sheetData>
  <mergeCells count="29">
    <mergeCell ref="J3:L3"/>
    <mergeCell ref="E45:E47"/>
    <mergeCell ref="J48:K48"/>
    <mergeCell ref="K45:K47"/>
    <mergeCell ref="C117:D117"/>
    <mergeCell ref="F45:H45"/>
    <mergeCell ref="G46:H46"/>
    <mergeCell ref="C82:D82"/>
    <mergeCell ref="J45:J47"/>
    <mergeCell ref="D45:D47"/>
    <mergeCell ref="C103:D103"/>
    <mergeCell ref="E81:I83"/>
    <mergeCell ref="J82:K82"/>
    <mergeCell ref="B69:B70"/>
    <mergeCell ref="C69:D69"/>
    <mergeCell ref="E69:F69"/>
    <mergeCell ref="C3:D3"/>
    <mergeCell ref="I45:I47"/>
    <mergeCell ref="C48:I48"/>
    <mergeCell ref="B64:B65"/>
    <mergeCell ref="C64:D64"/>
    <mergeCell ref="E64:F64"/>
    <mergeCell ref="I61:J61"/>
    <mergeCell ref="B2:B3"/>
    <mergeCell ref="C45:C47"/>
    <mergeCell ref="B45:B48"/>
    <mergeCell ref="F46:F47"/>
    <mergeCell ref="E3:I4"/>
    <mergeCell ref="I60:J60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r:id="rId1"/>
  <headerFooter alignWithMargins="0">
    <oddFooter>&amp;RStrona &amp;P z &amp;N</oddFooter>
  </headerFooter>
  <rowBreaks count="4" manualBreakCount="4">
    <brk id="34" max="16383" man="1"/>
    <brk id="42" max="16383" man="1"/>
    <brk id="78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2025-02-07T10:35:46Z</cp:lastPrinted>
  <dcterms:created xsi:type="dcterms:W3CDTF">2001-05-17T08:58:03Z</dcterms:created>
  <dcterms:modified xsi:type="dcterms:W3CDTF">2025-11-20T08:22:35Z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2022-06-01T15:12:09.6306425+02:00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GRN-8d66ded2-1cb5-4e67-9970-33e716a7ea2e</vt:lpwstr>
  </property>
  <property fmtid="{D5CDD505-2E9C-101B-9397-08002B2CF9AE}" pid="7" name="MFHash">
    <vt:lpwstr>9/jS5PLDII7DMwS9o4x/sZmJJ/kSI9X7awFsxSFXuVM=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