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 kwartał\2024.05.21 dane ostateczne\BIP MF\Zbiorówki\"/>
    </mc:Choice>
  </mc:AlternateContent>
  <xr:revisionPtr revIDLastSave="0" documentId="13_ncr:1_{69CF354F-B627-4783-916F-76CD61F3D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1" i="7" l="1"/>
  <c r="A77" i="7"/>
  <c r="A34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<sst xmlns="http://schemas.openxmlformats.org/spreadsheetml/2006/main" count="97" uniqueCount="81">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</sst>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40" t="str">
        <f>CONCATENATE("Informacja z wykonania budżetów gmin za ",$C$104," ",$B$105," roku   ",$B$107,"")</f>
        <v xml:space="preserve">Informacja z wykonania budżetów gmin za I Kwartał 2024 roku   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92" t="s">
        <v>0</v>
      </c>
      <c r="B6" s="91" t="s">
        <v>65</v>
      </c>
      <c r="C6" s="84" t="s">
        <v>69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36" t="s">
        <v>68</v>
      </c>
      <c r="P6" s="37"/>
      <c r="Q6" s="38"/>
    </row>
    <row r="7" spans="1:17" ht="13.5" customHeight="1" x14ac:dyDescent="0.2">
      <c r="A7" s="93"/>
      <c r="B7" s="87"/>
      <c r="C7" s="81" t="s">
        <v>66</v>
      </c>
      <c r="D7" s="81" t="s">
        <v>77</v>
      </c>
      <c r="E7" s="81" t="s">
        <v>70</v>
      </c>
      <c r="F7" s="81" t="s">
        <v>71</v>
      </c>
      <c r="G7" s="81" t="s">
        <v>27</v>
      </c>
      <c r="H7" s="81" t="s">
        <v>28</v>
      </c>
      <c r="I7" s="82" t="s">
        <v>67</v>
      </c>
      <c r="J7" s="81" t="s">
        <v>16</v>
      </c>
      <c r="K7" s="81" t="s">
        <v>17</v>
      </c>
      <c r="L7" s="81" t="s">
        <v>18</v>
      </c>
      <c r="M7" s="81" t="s">
        <v>19</v>
      </c>
      <c r="N7" s="87" t="s">
        <v>20</v>
      </c>
      <c r="O7" s="39" t="s">
        <v>21</v>
      </c>
      <c r="P7" s="39" t="s">
        <v>22</v>
      </c>
      <c r="Q7" s="39" t="s">
        <v>23</v>
      </c>
    </row>
    <row r="8" spans="1:17" ht="13.5" customHeight="1" x14ac:dyDescent="0.2">
      <c r="A8" s="93"/>
      <c r="B8" s="87"/>
      <c r="C8" s="41"/>
      <c r="D8" s="41"/>
      <c r="E8" s="41"/>
      <c r="F8" s="41"/>
      <c r="G8" s="41"/>
      <c r="H8" s="41"/>
      <c r="I8" s="82"/>
      <c r="J8" s="41"/>
      <c r="K8" s="41"/>
      <c r="L8" s="41"/>
      <c r="M8" s="41"/>
      <c r="N8" s="87"/>
      <c r="O8" s="39"/>
      <c r="P8" s="39"/>
      <c r="Q8" s="39"/>
    </row>
    <row r="9" spans="1:17" ht="11.25" customHeight="1" x14ac:dyDescent="0.2">
      <c r="A9" s="93"/>
      <c r="B9" s="87"/>
      <c r="C9" s="41"/>
      <c r="D9" s="41"/>
      <c r="E9" s="41"/>
      <c r="F9" s="41"/>
      <c r="G9" s="41"/>
      <c r="H9" s="41"/>
      <c r="I9" s="82"/>
      <c r="J9" s="41"/>
      <c r="K9" s="41"/>
      <c r="L9" s="41"/>
      <c r="M9" s="41"/>
      <c r="N9" s="87"/>
      <c r="O9" s="39"/>
      <c r="P9" s="39"/>
      <c r="Q9" s="39"/>
    </row>
    <row r="10" spans="1:17" ht="16.5" customHeight="1" x14ac:dyDescent="0.2">
      <c r="A10" s="94"/>
      <c r="B10" s="81"/>
      <c r="C10" s="41"/>
      <c r="D10" s="41"/>
      <c r="E10" s="41"/>
      <c r="F10" s="41"/>
      <c r="G10" s="41"/>
      <c r="H10" s="41"/>
      <c r="I10" s="83"/>
      <c r="J10" s="41"/>
      <c r="K10" s="41"/>
      <c r="L10" s="41"/>
      <c r="M10" s="41"/>
      <c r="N10" s="81"/>
      <c r="O10" s="39"/>
      <c r="P10" s="39"/>
      <c r="Q10" s="39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95" t="s">
        <v>80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63"/>
      <c r="P12" s="63"/>
      <c r="Q12" s="64"/>
    </row>
    <row r="13" spans="1:17" ht="48" x14ac:dyDescent="0.2">
      <c r="A13" s="27" t="s">
        <v>46</v>
      </c>
      <c r="B13" s="28">
        <f>38215513218.58</f>
        <v>38215513218.580002</v>
      </c>
      <c r="C13" s="28">
        <f>38215511194.27</f>
        <v>38215511194.269997</v>
      </c>
      <c r="D13" s="28">
        <f>2496839840.29</f>
        <v>2496839840.29</v>
      </c>
      <c r="E13" s="28">
        <f>239890819.72</f>
        <v>239890819.72</v>
      </c>
      <c r="F13" s="28">
        <f>509206467.27</f>
        <v>509206467.26999998</v>
      </c>
      <c r="G13" s="28">
        <f>1747504245.63</f>
        <v>1747504245.6300001</v>
      </c>
      <c r="H13" s="28">
        <f>238307.67</f>
        <v>238307.67</v>
      </c>
      <c r="I13" s="28">
        <f>0</f>
        <v>0</v>
      </c>
      <c r="J13" s="28">
        <f>33647998617.16</f>
        <v>33647998617.16</v>
      </c>
      <c r="K13" s="28">
        <f>1834004019.81</f>
        <v>1834004019.8099999</v>
      </c>
      <c r="L13" s="28">
        <f>205169424.9</f>
        <v>205169424.90000001</v>
      </c>
      <c r="M13" s="28">
        <f>16172386.26</f>
        <v>16172386.26</v>
      </c>
      <c r="N13" s="28">
        <f>15326905.85</f>
        <v>15326905.85</v>
      </c>
      <c r="O13" s="28">
        <f>2024.31</f>
        <v>2024.31</v>
      </c>
      <c r="P13" s="28">
        <f>0</f>
        <v>0</v>
      </c>
      <c r="Q13" s="28">
        <f>2024.31</f>
        <v>2024.31</v>
      </c>
    </row>
    <row r="14" spans="1:17" ht="26.25" customHeight="1" x14ac:dyDescent="0.2">
      <c r="A14" s="29" t="s">
        <v>47</v>
      </c>
      <c r="B14" s="28">
        <f>1166827122.92</f>
        <v>1166827122.9200001</v>
      </c>
      <c r="C14" s="28">
        <f>1166827122.92</f>
        <v>1166827122.9200001</v>
      </c>
      <c r="D14" s="28">
        <f>5851071.92</f>
        <v>5851071.9199999999</v>
      </c>
      <c r="E14" s="28">
        <f>0</f>
        <v>0</v>
      </c>
      <c r="F14" s="28">
        <f>0</f>
        <v>0</v>
      </c>
      <c r="G14" s="28">
        <f>5851071.92</f>
        <v>5851071.9199999999</v>
      </c>
      <c r="H14" s="28">
        <f>0</f>
        <v>0</v>
      </c>
      <c r="I14" s="28">
        <f>0</f>
        <v>0</v>
      </c>
      <c r="J14" s="28">
        <f>1118526000</f>
        <v>1118526000</v>
      </c>
      <c r="K14" s="28">
        <f>42450000</f>
        <v>42450000</v>
      </c>
      <c r="L14" s="28">
        <f>0</f>
        <v>0</v>
      </c>
      <c r="M14" s="28">
        <f>0</f>
        <v>0</v>
      </c>
      <c r="N14" s="28">
        <f>51</f>
        <v>51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0</f>
        <v>0</v>
      </c>
      <c r="C15" s="33">
        <f>0</f>
        <v>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1166827122.92</f>
        <v>1166827122.9200001</v>
      </c>
      <c r="C16" s="33">
        <f>1166827122.92</f>
        <v>1166827122.9200001</v>
      </c>
      <c r="D16" s="33">
        <f>5851071.92</f>
        <v>5851071.9199999999</v>
      </c>
      <c r="E16" s="33">
        <f>0</f>
        <v>0</v>
      </c>
      <c r="F16" s="33">
        <f>0</f>
        <v>0</v>
      </c>
      <c r="G16" s="33">
        <f>5851071.92</f>
        <v>5851071.9199999999</v>
      </c>
      <c r="H16" s="33">
        <f>0</f>
        <v>0</v>
      </c>
      <c r="I16" s="33">
        <f>0</f>
        <v>0</v>
      </c>
      <c r="J16" s="33">
        <f>1118526000</f>
        <v>1118526000</v>
      </c>
      <c r="K16" s="33">
        <f>42450000</f>
        <v>42450000</v>
      </c>
      <c r="L16" s="33">
        <f>0</f>
        <v>0</v>
      </c>
      <c r="M16" s="33">
        <f>0</f>
        <v>0</v>
      </c>
      <c r="N16" s="33">
        <f>51</f>
        <v>51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36989003284.45</f>
        <v>36989003284.449997</v>
      </c>
      <c r="C17" s="28">
        <f>36989003284.45</f>
        <v>36989003284.449997</v>
      </c>
      <c r="D17" s="28">
        <f>2472739116.27</f>
        <v>2472739116.27</v>
      </c>
      <c r="E17" s="28">
        <f>233660041.12</f>
        <v>233660041.12</v>
      </c>
      <c r="F17" s="28">
        <f>509128751.35</f>
        <v>509128751.35000002</v>
      </c>
      <c r="G17" s="28">
        <f>1729950323.8</f>
        <v>1729950323.8</v>
      </c>
      <c r="H17" s="28">
        <f>0</f>
        <v>0</v>
      </c>
      <c r="I17" s="28">
        <f>0</f>
        <v>0</v>
      </c>
      <c r="J17" s="28">
        <f>32529447617.16</f>
        <v>32529447617.16</v>
      </c>
      <c r="K17" s="28">
        <f>1790939352.83</f>
        <v>1790939352.8299999</v>
      </c>
      <c r="L17" s="28">
        <f>179309802.5</f>
        <v>179309802.5</v>
      </c>
      <c r="M17" s="28">
        <f>4759371.77</f>
        <v>4759371.7699999996</v>
      </c>
      <c r="N17" s="28">
        <f>11808023.92</f>
        <v>11808023.92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416785775.33</f>
        <v>416785775.32999998</v>
      </c>
      <c r="C18" s="33">
        <f>416785775.33</f>
        <v>416785775.32999998</v>
      </c>
      <c r="D18" s="33">
        <f>28550941.52</f>
        <v>28550941.52</v>
      </c>
      <c r="E18" s="33">
        <f>22370420.79</f>
        <v>22370420.789999999</v>
      </c>
      <c r="F18" s="33">
        <f>353913</f>
        <v>353913</v>
      </c>
      <c r="G18" s="33">
        <f>5826607.73</f>
        <v>5826607.7300000004</v>
      </c>
      <c r="H18" s="33">
        <f>0</f>
        <v>0</v>
      </c>
      <c r="I18" s="33">
        <f>0</f>
        <v>0</v>
      </c>
      <c r="J18" s="33">
        <f>366337754.78</f>
        <v>366337754.77999997</v>
      </c>
      <c r="K18" s="33">
        <f>20922766.72</f>
        <v>20922766.719999999</v>
      </c>
      <c r="L18" s="33">
        <f>878212.31</f>
        <v>878212.31</v>
      </c>
      <c r="M18" s="33">
        <f>96100</f>
        <v>96100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36572217509.12</f>
        <v>36572217509.120003</v>
      </c>
      <c r="C19" s="33">
        <f>36572217509.12</f>
        <v>36572217509.120003</v>
      </c>
      <c r="D19" s="33">
        <f>2444188174.75</f>
        <v>2444188174.75</v>
      </c>
      <c r="E19" s="33">
        <f>211289620.33</f>
        <v>211289620.33000001</v>
      </c>
      <c r="F19" s="33">
        <f>508774838.35</f>
        <v>508774838.35000002</v>
      </c>
      <c r="G19" s="33">
        <f>1724123716.07</f>
        <v>1724123716.0699999</v>
      </c>
      <c r="H19" s="33">
        <f>0</f>
        <v>0</v>
      </c>
      <c r="I19" s="33">
        <f>0</f>
        <v>0</v>
      </c>
      <c r="J19" s="33">
        <f>32163109862.38</f>
        <v>32163109862.380001</v>
      </c>
      <c r="K19" s="33">
        <f>1770016586.11</f>
        <v>1770016586.1099999</v>
      </c>
      <c r="L19" s="33">
        <f>178431590.19</f>
        <v>178431590.19</v>
      </c>
      <c r="M19" s="33">
        <f>4663271.77</f>
        <v>4663271.7699999996</v>
      </c>
      <c r="N19" s="33">
        <f>11808023.92</f>
        <v>11808023.92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59682811.21</f>
        <v>59682811.210000001</v>
      </c>
      <c r="C21" s="28">
        <f>59680786.9</f>
        <v>59680786.899999999</v>
      </c>
      <c r="D21" s="28">
        <f>18249652.1</f>
        <v>18249652.100000001</v>
      </c>
      <c r="E21" s="28">
        <f>6230778.6</f>
        <v>6230778.5999999996</v>
      </c>
      <c r="F21" s="28">
        <f>77715.92</f>
        <v>77715.92</v>
      </c>
      <c r="G21" s="28">
        <f>11702849.91</f>
        <v>11702849.91</v>
      </c>
      <c r="H21" s="28">
        <f>238307.67</f>
        <v>238307.67</v>
      </c>
      <c r="I21" s="28">
        <f>0</f>
        <v>0</v>
      </c>
      <c r="J21" s="28">
        <f>25000</f>
        <v>25000</v>
      </c>
      <c r="K21" s="28">
        <f>614666.98</f>
        <v>614666.98</v>
      </c>
      <c r="L21" s="28">
        <f>25859622.4</f>
        <v>25859622.399999999</v>
      </c>
      <c r="M21" s="28">
        <f>11413014.49</f>
        <v>11413014.49</v>
      </c>
      <c r="N21" s="28">
        <f>3518830.93</f>
        <v>3518830.93</v>
      </c>
      <c r="O21" s="28">
        <f>2024.31</f>
        <v>2024.31</v>
      </c>
      <c r="P21" s="28">
        <f>0</f>
        <v>0</v>
      </c>
      <c r="Q21" s="28">
        <f>2024.31</f>
        <v>2024.31</v>
      </c>
    </row>
    <row r="22" spans="1:17" ht="27" customHeight="1" x14ac:dyDescent="0.2">
      <c r="A22" s="19" t="s">
        <v>55</v>
      </c>
      <c r="B22" s="33">
        <f>36406493.56</f>
        <v>36406493.560000002</v>
      </c>
      <c r="C22" s="33">
        <f>36406493.56</f>
        <v>36406493.560000002</v>
      </c>
      <c r="D22" s="33">
        <f>2448739.39</f>
        <v>2448739.39</v>
      </c>
      <c r="E22" s="33">
        <f>179492.54</f>
        <v>179492.54</v>
      </c>
      <c r="F22" s="33">
        <f>20972.92</f>
        <v>20972.92</v>
      </c>
      <c r="G22" s="33">
        <f>2248273.93</f>
        <v>2248273.9300000002</v>
      </c>
      <c r="H22" s="33">
        <f>0</f>
        <v>0</v>
      </c>
      <c r="I22" s="33">
        <f>0</f>
        <v>0</v>
      </c>
      <c r="J22" s="33">
        <f>0</f>
        <v>0</v>
      </c>
      <c r="K22" s="33">
        <f>589381.67</f>
        <v>589381.67000000004</v>
      </c>
      <c r="L22" s="33">
        <f>22364345.83</f>
        <v>22364345.829999998</v>
      </c>
      <c r="M22" s="33">
        <f>7974499.59</f>
        <v>7974499.5899999999</v>
      </c>
      <c r="N22" s="33">
        <f>3029527.08</f>
        <v>3029527.08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23276317.65</f>
        <v>23276317.649999999</v>
      </c>
      <c r="C23" s="33">
        <f>23274293.34</f>
        <v>23274293.34</v>
      </c>
      <c r="D23" s="33">
        <f>15800912.71</f>
        <v>15800912.710000001</v>
      </c>
      <c r="E23" s="33">
        <f>6051286.06</f>
        <v>6051286.0599999996</v>
      </c>
      <c r="F23" s="33">
        <f>56743</f>
        <v>56743</v>
      </c>
      <c r="G23" s="33">
        <f>9454575.98</f>
        <v>9454575.9800000004</v>
      </c>
      <c r="H23" s="33">
        <f>238307.67</f>
        <v>238307.67</v>
      </c>
      <c r="I23" s="33">
        <f>0</f>
        <v>0</v>
      </c>
      <c r="J23" s="33">
        <f>25000</f>
        <v>25000</v>
      </c>
      <c r="K23" s="33">
        <f>25285.31</f>
        <v>25285.31</v>
      </c>
      <c r="L23" s="33">
        <f>3495276.57</f>
        <v>3495276.57</v>
      </c>
      <c r="M23" s="33">
        <f>3438514.9</f>
        <v>3438514.9</v>
      </c>
      <c r="N23" s="33">
        <f>489303.85</f>
        <v>489303.85</v>
      </c>
      <c r="O23" s="33">
        <f>2024.31</f>
        <v>2024.31</v>
      </c>
      <c r="P23" s="33">
        <f>0</f>
        <v>0</v>
      </c>
      <c r="Q23" s="33">
        <f>2024.31</f>
        <v>2024.31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40" t="str">
        <f>CONCATENATE("Informacja z wykonania budżetów gmin za ",$C$104," ",$B$105," roku   ",$B$107,"")</f>
        <v xml:space="preserve">Informacja z wykonania budżetów gmin za I Kwartał 2024 roku   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6" spans="1:17" ht="13.5" customHeight="1" x14ac:dyDescent="0.2">
      <c r="A36" s="80" t="s">
        <v>11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8" spans="1:17" ht="13.5" customHeight="1" x14ac:dyDescent="0.2">
      <c r="A38" s="97" t="s">
        <v>0</v>
      </c>
      <c r="B38" s="91" t="s">
        <v>12</v>
      </c>
      <c r="C38" s="84" t="s">
        <v>14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88" t="s">
        <v>24</v>
      </c>
      <c r="P38" s="89"/>
      <c r="Q38" s="90"/>
    </row>
    <row r="39" spans="1:17" ht="13.5" customHeight="1" x14ac:dyDescent="0.2">
      <c r="A39" s="98"/>
      <c r="B39" s="87"/>
      <c r="C39" s="87" t="s">
        <v>13</v>
      </c>
      <c r="D39" s="41" t="s">
        <v>15</v>
      </c>
      <c r="E39" s="41" t="s">
        <v>25</v>
      </c>
      <c r="F39" s="41" t="s">
        <v>26</v>
      </c>
      <c r="G39" s="41" t="s">
        <v>74</v>
      </c>
      <c r="H39" s="41" t="s">
        <v>28</v>
      </c>
      <c r="I39" s="41" t="s">
        <v>1</v>
      </c>
      <c r="J39" s="41" t="s">
        <v>16</v>
      </c>
      <c r="K39" s="41" t="s">
        <v>17</v>
      </c>
      <c r="L39" s="41" t="s">
        <v>18</v>
      </c>
      <c r="M39" s="41" t="s">
        <v>19</v>
      </c>
      <c r="N39" s="100" t="s">
        <v>20</v>
      </c>
      <c r="O39" s="39" t="s">
        <v>21</v>
      </c>
      <c r="P39" s="39" t="s">
        <v>22</v>
      </c>
      <c r="Q39" s="42" t="s">
        <v>23</v>
      </c>
    </row>
    <row r="40" spans="1:17" ht="11.25" customHeight="1" x14ac:dyDescent="0.2">
      <c r="A40" s="98"/>
      <c r="B40" s="87"/>
      <c r="C40" s="8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00"/>
      <c r="O40" s="39"/>
      <c r="P40" s="39"/>
      <c r="Q40" s="43"/>
    </row>
    <row r="41" spans="1:17" ht="32.25" customHeight="1" x14ac:dyDescent="0.2">
      <c r="A41" s="99"/>
      <c r="B41" s="81"/>
      <c r="C41" s="8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00"/>
      <c r="O41" s="39"/>
      <c r="P41" s="39"/>
      <c r="Q41" s="44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84" t="s">
        <v>80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</row>
    <row r="44" spans="1:17" ht="24.75" customHeight="1" x14ac:dyDescent="0.2">
      <c r="A44" s="34" t="s">
        <v>41</v>
      </c>
      <c r="B44" s="35">
        <f>63772492.71</f>
        <v>63772492.710000001</v>
      </c>
      <c r="C44" s="35">
        <f>63772492.71</f>
        <v>63772492.710000001</v>
      </c>
      <c r="D44" s="35">
        <f>10007.2</f>
        <v>10007.200000000001</v>
      </c>
      <c r="E44" s="35">
        <f>10007.2</f>
        <v>10007.200000000001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206160.2</f>
        <v>206160.2</v>
      </c>
      <c r="K44" s="35">
        <f>29050</f>
        <v>29050</v>
      </c>
      <c r="L44" s="35">
        <f>62091788.78</f>
        <v>62091788.780000001</v>
      </c>
      <c r="M44" s="35">
        <f>1140445.3</f>
        <v>1140445.3</v>
      </c>
      <c r="N44" s="35">
        <f>295041.23</f>
        <v>295041.23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436100.8</f>
        <v>436100.8</v>
      </c>
      <c r="C45" s="26">
        <f>436100.8</f>
        <v>436100.8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141335.68</f>
        <v>141335.67999999999</v>
      </c>
      <c r="M45" s="26">
        <f>3723.89</f>
        <v>3723.89</v>
      </c>
      <c r="N45" s="26">
        <f>285041.23</f>
        <v>285041.23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63336391.91</f>
        <v>63336391.909999996</v>
      </c>
      <c r="C46" s="26">
        <f>63336391.91</f>
        <v>63336391.909999996</v>
      </c>
      <c r="D46" s="26">
        <f>10007.2</f>
        <v>10007.200000000001</v>
      </c>
      <c r="E46" s="26">
        <f>10007.2</f>
        <v>10007.200000000001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200160.2</f>
        <v>200160.2</v>
      </c>
      <c r="K46" s="26">
        <f>29050</f>
        <v>29050</v>
      </c>
      <c r="L46" s="26">
        <f>61950453.1</f>
        <v>61950453.100000001</v>
      </c>
      <c r="M46" s="26">
        <f>1136721.41</f>
        <v>1136721.4099999999</v>
      </c>
      <c r="N46" s="26">
        <f>10000</f>
        <v>10000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454947713.35</f>
        <v>454947713.35000002</v>
      </c>
      <c r="C47" s="26">
        <f>454942520.91</f>
        <v>454942520.91000003</v>
      </c>
      <c r="D47" s="26">
        <f>26767168.26</f>
        <v>26767168.260000002</v>
      </c>
      <c r="E47" s="26">
        <f>2708.46</f>
        <v>2708.46</v>
      </c>
      <c r="F47" s="26">
        <f>57835.5</f>
        <v>57835.5</v>
      </c>
      <c r="G47" s="26">
        <f>22403888.3</f>
        <v>22403888.300000001</v>
      </c>
      <c r="H47" s="26">
        <f>4302736</f>
        <v>4302736</v>
      </c>
      <c r="I47" s="26">
        <f>0</f>
        <v>0</v>
      </c>
      <c r="J47" s="26">
        <f>163087.83</f>
        <v>163087.82999999999</v>
      </c>
      <c r="K47" s="26">
        <f>31583.58</f>
        <v>31583.58</v>
      </c>
      <c r="L47" s="26">
        <f>171604605.22</f>
        <v>171604605.22</v>
      </c>
      <c r="M47" s="26">
        <f>208916534.14</f>
        <v>208916534.13999999</v>
      </c>
      <c r="N47" s="26">
        <f>47459541.88</f>
        <v>47459541.880000003</v>
      </c>
      <c r="O47" s="15">
        <f>5192.44</f>
        <v>5192.4399999999996</v>
      </c>
      <c r="P47" s="15">
        <f>5192.44</f>
        <v>5192.4399999999996</v>
      </c>
      <c r="Q47" s="15">
        <f>0</f>
        <v>0</v>
      </c>
    </row>
    <row r="48" spans="1:17" ht="24.75" customHeight="1" x14ac:dyDescent="0.2">
      <c r="A48" s="23" t="s">
        <v>31</v>
      </c>
      <c r="B48" s="26">
        <f>62434582.63</f>
        <v>62434582.630000003</v>
      </c>
      <c r="C48" s="26">
        <f>62434582.63</f>
        <v>62434582.630000003</v>
      </c>
      <c r="D48" s="26">
        <f>10252057.15</f>
        <v>10252057.15</v>
      </c>
      <c r="E48" s="26">
        <f>208.46</f>
        <v>208.46</v>
      </c>
      <c r="F48" s="26">
        <f>50000</f>
        <v>50000</v>
      </c>
      <c r="G48" s="26">
        <f>5901848.69</f>
        <v>5901848.6900000004</v>
      </c>
      <c r="H48" s="26">
        <f>4300000</f>
        <v>4300000</v>
      </c>
      <c r="I48" s="26">
        <f>0</f>
        <v>0</v>
      </c>
      <c r="J48" s="26">
        <f>0</f>
        <v>0</v>
      </c>
      <c r="K48" s="26">
        <f>0</f>
        <v>0</v>
      </c>
      <c r="L48" s="26">
        <f>28849979.64</f>
        <v>28849979.640000001</v>
      </c>
      <c r="M48" s="26">
        <f>3561309.28</f>
        <v>3561309.28</v>
      </c>
      <c r="N48" s="26">
        <f>19771236.56</f>
        <v>19771236.559999999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392513130.72</f>
        <v>392513130.72000003</v>
      </c>
      <c r="C49" s="26">
        <f>392507938.28</f>
        <v>392507938.27999997</v>
      </c>
      <c r="D49" s="26">
        <f>16515111.11</f>
        <v>16515111.109999999</v>
      </c>
      <c r="E49" s="26">
        <f>2500</f>
        <v>2500</v>
      </c>
      <c r="F49" s="26">
        <f>7835.5</f>
        <v>7835.5</v>
      </c>
      <c r="G49" s="26">
        <f>16502039.61</f>
        <v>16502039.609999999</v>
      </c>
      <c r="H49" s="26">
        <f>2736</f>
        <v>2736</v>
      </c>
      <c r="I49" s="26">
        <f>0</f>
        <v>0</v>
      </c>
      <c r="J49" s="26">
        <f>163087.83</f>
        <v>163087.82999999999</v>
      </c>
      <c r="K49" s="26">
        <f>31583.58</f>
        <v>31583.58</v>
      </c>
      <c r="L49" s="26">
        <f>142754625.58</f>
        <v>142754625.58000001</v>
      </c>
      <c r="M49" s="26">
        <f>205355224.86</f>
        <v>205355224.86000001</v>
      </c>
      <c r="N49" s="26">
        <f>27688305.32</f>
        <v>27688305.32</v>
      </c>
      <c r="O49" s="15">
        <f>5192.44</f>
        <v>5192.4399999999996</v>
      </c>
      <c r="P49" s="15">
        <f>5192.44</f>
        <v>5192.4399999999996</v>
      </c>
      <c r="Q49" s="15">
        <f>0</f>
        <v>0</v>
      </c>
    </row>
    <row r="50" spans="1:17" ht="24.75" customHeight="1" x14ac:dyDescent="0.2">
      <c r="A50" s="34" t="s">
        <v>43</v>
      </c>
      <c r="B50" s="35">
        <f>26801861396.6</f>
        <v>26801861396.599998</v>
      </c>
      <c r="C50" s="35">
        <f>26801861396.6</f>
        <v>26801861396.599998</v>
      </c>
      <c r="D50" s="35">
        <f>13955027.09</f>
        <v>13955027.09</v>
      </c>
      <c r="E50" s="35">
        <f>4338465.66</f>
        <v>4338465.66</v>
      </c>
      <c r="F50" s="35">
        <f>12944.58</f>
        <v>12944.58</v>
      </c>
      <c r="G50" s="35">
        <f>9603616.85</f>
        <v>9603616.8499999996</v>
      </c>
      <c r="H50" s="35">
        <f>0</f>
        <v>0</v>
      </c>
      <c r="I50" s="35">
        <f>151260.39</f>
        <v>151260.39000000001</v>
      </c>
      <c r="J50" s="35">
        <f>26776659616.78</f>
        <v>26776659616.779999</v>
      </c>
      <c r="K50" s="35">
        <f>58176.99</f>
        <v>58176.99</v>
      </c>
      <c r="L50" s="35">
        <f>10906935.66</f>
        <v>10906935.66</v>
      </c>
      <c r="M50" s="35">
        <f>130379.69</f>
        <v>130379.69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9530112.56</f>
        <v>9530112.5600000005</v>
      </c>
      <c r="C51" s="26">
        <f>9530112.56</f>
        <v>9530112.5600000005</v>
      </c>
      <c r="D51" s="26">
        <f>9530112.56</f>
        <v>9530112.5600000005</v>
      </c>
      <c r="E51" s="26">
        <f>0</f>
        <v>0</v>
      </c>
      <c r="F51" s="26">
        <f>0</f>
        <v>0</v>
      </c>
      <c r="G51" s="26">
        <f>9530112.56</f>
        <v>9530112.5600000005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19705899877.89</f>
        <v>19705899877.889999</v>
      </c>
      <c r="C52" s="26">
        <f>19705899877.89</f>
        <v>19705899877.889999</v>
      </c>
      <c r="D52" s="26">
        <f>29651.2</f>
        <v>29651.200000000001</v>
      </c>
      <c r="E52" s="26">
        <f>11117.11</f>
        <v>11117.11</v>
      </c>
      <c r="F52" s="26">
        <f>6480</f>
        <v>6480</v>
      </c>
      <c r="G52" s="26">
        <f>12054.09</f>
        <v>12054.09</v>
      </c>
      <c r="H52" s="26">
        <f>0</f>
        <v>0</v>
      </c>
      <c r="I52" s="26">
        <f>151260.39</f>
        <v>151260.39000000001</v>
      </c>
      <c r="J52" s="26">
        <f>19695020458.51</f>
        <v>19695020458.509998</v>
      </c>
      <c r="K52" s="26">
        <f>55670.67</f>
        <v>55670.67</v>
      </c>
      <c r="L52" s="26">
        <f>10642837.12</f>
        <v>10642837.119999999</v>
      </c>
      <c r="M52" s="26">
        <f>0</f>
        <v>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7086431406.15</f>
        <v>7086431406.1499996</v>
      </c>
      <c r="C53" s="26">
        <f>7086431406.15</f>
        <v>7086431406.1499996</v>
      </c>
      <c r="D53" s="26">
        <f>4395263.33</f>
        <v>4395263.33</v>
      </c>
      <c r="E53" s="26">
        <f>4327348.55</f>
        <v>4327348.55</v>
      </c>
      <c r="F53" s="26">
        <f>6464.58</f>
        <v>6464.58</v>
      </c>
      <c r="G53" s="26">
        <f>61450.2</f>
        <v>61450.2</v>
      </c>
      <c r="H53" s="26">
        <f>0</f>
        <v>0</v>
      </c>
      <c r="I53" s="26">
        <f>0</f>
        <v>0</v>
      </c>
      <c r="J53" s="26">
        <f>7081639158.27</f>
        <v>7081639158.2700005</v>
      </c>
      <c r="K53" s="26">
        <f>2506.32</f>
        <v>2506.3200000000002</v>
      </c>
      <c r="L53" s="26">
        <f>264098.54</f>
        <v>264098.53999999998</v>
      </c>
      <c r="M53" s="26">
        <f>130379.69</f>
        <v>130379.69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10426888002.51</f>
        <v>10426888002.51</v>
      </c>
      <c r="C54" s="35">
        <f>10398977189.86</f>
        <v>10398977189.860001</v>
      </c>
      <c r="D54" s="35">
        <f>97896514.13</f>
        <v>97896514.129999995</v>
      </c>
      <c r="E54" s="35">
        <f>54991753.46</f>
        <v>54991753.460000001</v>
      </c>
      <c r="F54" s="35">
        <f>971485.74</f>
        <v>971485.74</v>
      </c>
      <c r="G54" s="35">
        <f>41576358.88</f>
        <v>41576358.880000003</v>
      </c>
      <c r="H54" s="35">
        <f>356916.05</f>
        <v>356916.05</v>
      </c>
      <c r="I54" s="35">
        <f>0</f>
        <v>0</v>
      </c>
      <c r="J54" s="35">
        <f>12253215.13</f>
        <v>12253215.130000001</v>
      </c>
      <c r="K54" s="35">
        <f>11240095.99</f>
        <v>11240095.99</v>
      </c>
      <c r="L54" s="35">
        <f>2280227231.05</f>
        <v>2280227231.0500002</v>
      </c>
      <c r="M54" s="35">
        <f>7932643684.06</f>
        <v>7932643684.0600004</v>
      </c>
      <c r="N54" s="35">
        <f>64716449.5</f>
        <v>64716449.5</v>
      </c>
      <c r="O54" s="35">
        <f>27910812.65</f>
        <v>27910812.649999999</v>
      </c>
      <c r="P54" s="35">
        <f>18717674.84</f>
        <v>18717674.84</v>
      </c>
      <c r="Q54" s="35">
        <f>9193137.81</f>
        <v>9193137.8100000005</v>
      </c>
    </row>
    <row r="55" spans="1:17" ht="24.75" customHeight="1" x14ac:dyDescent="0.2">
      <c r="A55" s="22" t="s">
        <v>36</v>
      </c>
      <c r="B55" s="26">
        <f>1439140388.1</f>
        <v>1439140388.0999999</v>
      </c>
      <c r="C55" s="26">
        <f>1438748050.15</f>
        <v>1438748050.1500001</v>
      </c>
      <c r="D55" s="26">
        <f>7897612.75</f>
        <v>7897612.75</v>
      </c>
      <c r="E55" s="26">
        <f>1562402.6</f>
        <v>1562402.6</v>
      </c>
      <c r="F55" s="26">
        <f>106991.32</f>
        <v>106991.32</v>
      </c>
      <c r="G55" s="26">
        <f>6040847.5</f>
        <v>6040847.5</v>
      </c>
      <c r="H55" s="26">
        <f>187371.33</f>
        <v>187371.33</v>
      </c>
      <c r="I55" s="26">
        <f>0</f>
        <v>0</v>
      </c>
      <c r="J55" s="26">
        <f>57437.19</f>
        <v>57437.19</v>
      </c>
      <c r="K55" s="26">
        <f>983565.65</f>
        <v>983565.65</v>
      </c>
      <c r="L55" s="26">
        <f>304328224.76</f>
        <v>304328224.75999999</v>
      </c>
      <c r="M55" s="26">
        <f>1096002434.89</f>
        <v>1096002434.8900001</v>
      </c>
      <c r="N55" s="26">
        <f>29478774.91</f>
        <v>29478774.91</v>
      </c>
      <c r="O55" s="15">
        <f>392337.95</f>
        <v>392337.95</v>
      </c>
      <c r="P55" s="15">
        <f>235397.23</f>
        <v>235397.23</v>
      </c>
      <c r="Q55" s="15">
        <f>156940.72</f>
        <v>156940.72</v>
      </c>
    </row>
    <row r="56" spans="1:17" ht="24.75" customHeight="1" x14ac:dyDescent="0.2">
      <c r="A56" s="23" t="s">
        <v>37</v>
      </c>
      <c r="B56" s="26">
        <f>8987747614.41</f>
        <v>8987747614.4099998</v>
      </c>
      <c r="C56" s="26">
        <f>8960229139.71</f>
        <v>8960229139.7099991</v>
      </c>
      <c r="D56" s="26">
        <f>89998901.38</f>
        <v>89998901.379999995</v>
      </c>
      <c r="E56" s="26">
        <f>53429350.86</f>
        <v>53429350.859999999</v>
      </c>
      <c r="F56" s="26">
        <f>864494.42</f>
        <v>864494.42</v>
      </c>
      <c r="G56" s="26">
        <f>35535511.38</f>
        <v>35535511.380000003</v>
      </c>
      <c r="H56" s="26">
        <f>169544.72</f>
        <v>169544.72</v>
      </c>
      <c r="I56" s="26">
        <f>0</f>
        <v>0</v>
      </c>
      <c r="J56" s="26">
        <f>12195777.94</f>
        <v>12195777.939999999</v>
      </c>
      <c r="K56" s="26">
        <f>10256530.34</f>
        <v>10256530.34</v>
      </c>
      <c r="L56" s="26">
        <f>1975899006.29</f>
        <v>1975899006.29</v>
      </c>
      <c r="M56" s="26">
        <f>6836641249.17</f>
        <v>6836641249.1700001</v>
      </c>
      <c r="N56" s="26">
        <f>35237674.59</f>
        <v>35237674.590000004</v>
      </c>
      <c r="O56" s="15">
        <f>27518474.7</f>
        <v>27518474.699999999</v>
      </c>
      <c r="P56" s="15">
        <f>18482277.61</f>
        <v>18482277.609999999</v>
      </c>
      <c r="Q56" s="15">
        <f>9036197.09</f>
        <v>9036197.0899999999</v>
      </c>
    </row>
    <row r="57" spans="1:17" ht="24.75" customHeight="1" x14ac:dyDescent="0.2">
      <c r="A57" s="34" t="s">
        <v>45</v>
      </c>
      <c r="B57" s="35">
        <f>23344840068.63</f>
        <v>23344840068.630001</v>
      </c>
      <c r="C57" s="35">
        <f>23342202947.19</f>
        <v>23342202947.189999</v>
      </c>
      <c r="D57" s="35">
        <f>896651026.6</f>
        <v>896651026.60000002</v>
      </c>
      <c r="E57" s="35">
        <f>439232021.05</f>
        <v>439232021.05000001</v>
      </c>
      <c r="F57" s="35">
        <f>84042040.32</f>
        <v>84042040.319999993</v>
      </c>
      <c r="G57" s="35">
        <f>364513382.33</f>
        <v>364513382.32999998</v>
      </c>
      <c r="H57" s="35">
        <f>8863582.9</f>
        <v>8863582.9000000004</v>
      </c>
      <c r="I57" s="35">
        <f>349484.02</f>
        <v>349484.02</v>
      </c>
      <c r="J57" s="35">
        <f>17990911.77</f>
        <v>17990911.77</v>
      </c>
      <c r="K57" s="35">
        <f>67242732.67</f>
        <v>67242732.670000002</v>
      </c>
      <c r="L57" s="35">
        <f>12585757415.79</f>
        <v>12585757415.790001</v>
      </c>
      <c r="M57" s="35">
        <f>9568467732.38</f>
        <v>9568467732.3799992</v>
      </c>
      <c r="N57" s="35">
        <f>205743643.96</f>
        <v>205743643.96000001</v>
      </c>
      <c r="O57" s="35">
        <f>2637121.44</f>
        <v>2637121.44</v>
      </c>
      <c r="P57" s="35">
        <f>1836599.38</f>
        <v>1836599.38</v>
      </c>
      <c r="Q57" s="35">
        <f>800522.06</f>
        <v>800522.06</v>
      </c>
    </row>
    <row r="58" spans="1:17" ht="30" customHeight="1" x14ac:dyDescent="0.2">
      <c r="A58" s="22" t="s">
        <v>38</v>
      </c>
      <c r="B58" s="26">
        <f>1192731191.33</f>
        <v>1192731191.3299999</v>
      </c>
      <c r="C58" s="26">
        <f>1192524873.94</f>
        <v>1192524873.9400001</v>
      </c>
      <c r="D58" s="26">
        <f>58196551.72</f>
        <v>58196551.719999999</v>
      </c>
      <c r="E58" s="26">
        <f>7170008.43</f>
        <v>7170008.4299999997</v>
      </c>
      <c r="F58" s="26">
        <f>1838481.86</f>
        <v>1838481.86</v>
      </c>
      <c r="G58" s="26">
        <f>47853403.7</f>
        <v>47853403.700000003</v>
      </c>
      <c r="H58" s="26">
        <f>1334657.73</f>
        <v>1334657.73</v>
      </c>
      <c r="I58" s="26">
        <f>0</f>
        <v>0</v>
      </c>
      <c r="J58" s="26">
        <f>527951.05</f>
        <v>527951.05000000005</v>
      </c>
      <c r="K58" s="26">
        <f>1900741.07</f>
        <v>1900741.07</v>
      </c>
      <c r="L58" s="26">
        <f>464211588.14</f>
        <v>464211588.13999999</v>
      </c>
      <c r="M58" s="26">
        <f>653965179.44</f>
        <v>653965179.44000006</v>
      </c>
      <c r="N58" s="26">
        <f>13722862.52</f>
        <v>13722862.52</v>
      </c>
      <c r="O58" s="15">
        <f>206317.39</f>
        <v>206317.39</v>
      </c>
      <c r="P58" s="15">
        <f>83825.07</f>
        <v>83825.070000000007</v>
      </c>
      <c r="Q58" s="15">
        <f>122492.32</f>
        <v>122492.32</v>
      </c>
    </row>
    <row r="59" spans="1:17" ht="36" x14ac:dyDescent="0.2">
      <c r="A59" s="22" t="s">
        <v>39</v>
      </c>
      <c r="B59" s="26">
        <f>15258525536.18</f>
        <v>15258525536.18</v>
      </c>
      <c r="C59" s="26">
        <f>15256339419.98</f>
        <v>15256339419.98</v>
      </c>
      <c r="D59" s="26">
        <f>415873266.14</f>
        <v>415873266.13999999</v>
      </c>
      <c r="E59" s="26">
        <f>179437376.64</f>
        <v>179437376.63999999</v>
      </c>
      <c r="F59" s="26">
        <f>53833563.03</f>
        <v>53833563.030000001</v>
      </c>
      <c r="G59" s="26">
        <f>177011916.21</f>
        <v>177011916.21000001</v>
      </c>
      <c r="H59" s="26">
        <f>5590410.26</f>
        <v>5590410.2599999998</v>
      </c>
      <c r="I59" s="26">
        <f>340639</f>
        <v>340639</v>
      </c>
      <c r="J59" s="26">
        <f>15809595.84</f>
        <v>15809595.84</v>
      </c>
      <c r="K59" s="26">
        <f>58793133.28</f>
        <v>58793133.280000001</v>
      </c>
      <c r="L59" s="26">
        <f>9642683136.54</f>
        <v>9642683136.5400009</v>
      </c>
      <c r="M59" s="26">
        <f>5067227551.84</f>
        <v>5067227551.8400002</v>
      </c>
      <c r="N59" s="26">
        <f>55612097.34</f>
        <v>55612097.340000004</v>
      </c>
      <c r="O59" s="15">
        <f>2186116.2</f>
        <v>2186116.2000000002</v>
      </c>
      <c r="P59" s="15">
        <f>1625320.92</f>
        <v>1625320.92</v>
      </c>
      <c r="Q59" s="15">
        <f>560795.28</f>
        <v>560795.28</v>
      </c>
    </row>
    <row r="60" spans="1:17" ht="30.75" customHeight="1" x14ac:dyDescent="0.2">
      <c r="A60" s="22" t="s">
        <v>40</v>
      </c>
      <c r="B60" s="26">
        <f>6893583341.12</f>
        <v>6893583341.1199999</v>
      </c>
      <c r="C60" s="26">
        <f>6893338653.27</f>
        <v>6893338653.2700005</v>
      </c>
      <c r="D60" s="26">
        <f>422581208.74</f>
        <v>422581208.74000001</v>
      </c>
      <c r="E60" s="26">
        <f>252624635.98</f>
        <v>252624635.97999999</v>
      </c>
      <c r="F60" s="26">
        <f>28369995.43</f>
        <v>28369995.43</v>
      </c>
      <c r="G60" s="26">
        <f>139648062.42</f>
        <v>139648062.41999999</v>
      </c>
      <c r="H60" s="26">
        <f>1938514.91</f>
        <v>1938514.91</v>
      </c>
      <c r="I60" s="26">
        <f>8845.02</f>
        <v>8845.02</v>
      </c>
      <c r="J60" s="26">
        <f>1653364.88</f>
        <v>1653364.88</v>
      </c>
      <c r="K60" s="26">
        <f>6548858.32</f>
        <v>6548858.3200000003</v>
      </c>
      <c r="L60" s="26">
        <f>2478862691.11</f>
        <v>2478862691.1100001</v>
      </c>
      <c r="M60" s="26">
        <f>3847275001.1</f>
        <v>3847275001.0999999</v>
      </c>
      <c r="N60" s="26">
        <f>136408684.1</f>
        <v>136408684.09999999</v>
      </c>
      <c r="O60" s="15">
        <f>244687.85</f>
        <v>244687.85</v>
      </c>
      <c r="P60" s="15">
        <f>127453.39</f>
        <v>127453.39</v>
      </c>
      <c r="Q60" s="15">
        <f>117234.46</f>
        <v>117234.46</v>
      </c>
    </row>
    <row r="77" spans="1:13" ht="75" customHeight="1" x14ac:dyDescent="0.2">
      <c r="A77" s="40" t="str">
        <f>CONCATENATE("Informacja z wykonania budżetów gmin za ",$C$104," ",$B$105," roku   ",$B$107,"")</f>
        <v xml:space="preserve">Informacja z wykonania budżetów gmin za I Kwartał 2024 roku   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3.5" customHeight="1" x14ac:dyDescent="0.2">
      <c r="B78" s="80" t="s">
        <v>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</row>
    <row r="80" spans="1:13" ht="13.5" customHeight="1" x14ac:dyDescent="0.2">
      <c r="B80" s="46" t="s">
        <v>0</v>
      </c>
      <c r="C80" s="47"/>
      <c r="D80" s="47"/>
      <c r="E80" s="48"/>
      <c r="F80" s="58" t="s">
        <v>72</v>
      </c>
      <c r="G80" s="62" t="s">
        <v>78</v>
      </c>
      <c r="H80" s="70"/>
      <c r="I80" s="70"/>
      <c r="J80" s="70"/>
      <c r="K80" s="70"/>
      <c r="L80" s="71"/>
    </row>
    <row r="81" spans="1:13" ht="13.5" customHeight="1" x14ac:dyDescent="0.2">
      <c r="B81" s="49"/>
      <c r="C81" s="50"/>
      <c r="D81" s="50"/>
      <c r="E81" s="51"/>
      <c r="F81" s="59"/>
      <c r="G81" s="61" t="s">
        <v>73</v>
      </c>
      <c r="H81" s="45" t="s">
        <v>70</v>
      </c>
      <c r="I81" s="45" t="s">
        <v>71</v>
      </c>
      <c r="J81" s="45" t="s">
        <v>74</v>
      </c>
      <c r="K81" s="45" t="s">
        <v>75</v>
      </c>
      <c r="L81" s="65" t="s">
        <v>76</v>
      </c>
    </row>
    <row r="82" spans="1:13" ht="13.5" customHeight="1" x14ac:dyDescent="0.2">
      <c r="B82" s="49"/>
      <c r="C82" s="50"/>
      <c r="D82" s="50"/>
      <c r="E82" s="51"/>
      <c r="F82" s="59"/>
      <c r="G82" s="61"/>
      <c r="H82" s="45"/>
      <c r="I82" s="45"/>
      <c r="J82" s="45"/>
      <c r="K82" s="45"/>
      <c r="L82" s="65"/>
    </row>
    <row r="83" spans="1:13" ht="11.25" customHeight="1" x14ac:dyDescent="0.2">
      <c r="B83" s="49"/>
      <c r="C83" s="50"/>
      <c r="D83" s="50"/>
      <c r="E83" s="51"/>
      <c r="F83" s="59"/>
      <c r="G83" s="61"/>
      <c r="H83" s="45"/>
      <c r="I83" s="45"/>
      <c r="J83" s="45"/>
      <c r="K83" s="45"/>
      <c r="L83" s="65"/>
    </row>
    <row r="84" spans="1:13" ht="11.25" customHeight="1" x14ac:dyDescent="0.2">
      <c r="B84" s="52"/>
      <c r="C84" s="53"/>
      <c r="D84" s="53"/>
      <c r="E84" s="54"/>
      <c r="F84" s="60"/>
      <c r="G84" s="61"/>
      <c r="H84" s="45"/>
      <c r="I84" s="45"/>
      <c r="J84" s="45"/>
      <c r="K84" s="45"/>
      <c r="L84" s="65"/>
    </row>
    <row r="85" spans="1:13" ht="11.25" customHeight="1" x14ac:dyDescent="0.2">
      <c r="B85" s="45">
        <v>1</v>
      </c>
      <c r="C85" s="45"/>
      <c r="D85" s="45"/>
      <c r="E85" s="45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5"/>
      <c r="C86" s="45"/>
      <c r="D86" s="45"/>
      <c r="E86" s="45"/>
      <c r="F86" s="62" t="s">
        <v>80</v>
      </c>
      <c r="G86" s="63"/>
      <c r="H86" s="63"/>
      <c r="I86" s="63"/>
      <c r="J86" s="63"/>
      <c r="K86" s="63"/>
      <c r="L86" s="64"/>
    </row>
    <row r="87" spans="1:13" ht="33.75" customHeight="1" x14ac:dyDescent="0.2">
      <c r="B87" s="55" t="s">
        <v>57</v>
      </c>
      <c r="C87" s="56"/>
      <c r="D87" s="56"/>
      <c r="E87" s="57"/>
      <c r="F87" s="33">
        <f>5016881259.82</f>
        <v>5016881259.8199997</v>
      </c>
      <c r="G87" s="33">
        <f>4292144534.25</f>
        <v>4292144534.25</v>
      </c>
      <c r="H87" s="33">
        <f>20396374.38</f>
        <v>20396374.379999999</v>
      </c>
      <c r="I87" s="33">
        <f>148624151.56</f>
        <v>148624151.56</v>
      </c>
      <c r="J87" s="33">
        <f>4089200275.38</f>
        <v>4089200275.3800001</v>
      </c>
      <c r="K87" s="33">
        <f>33923732.93</f>
        <v>33923732.93</v>
      </c>
      <c r="L87" s="33">
        <f>724736725.57</f>
        <v>724736725.57000005</v>
      </c>
    </row>
    <row r="88" spans="1:13" ht="33.75" customHeight="1" x14ac:dyDescent="0.2">
      <c r="B88" s="55" t="s">
        <v>58</v>
      </c>
      <c r="C88" s="56"/>
      <c r="D88" s="56"/>
      <c r="E88" s="57"/>
      <c r="F88" s="33">
        <f>1401409</f>
        <v>1401409</v>
      </c>
      <c r="G88" s="33">
        <f>1401409</f>
        <v>1401409</v>
      </c>
      <c r="H88" s="33">
        <f>0</f>
        <v>0</v>
      </c>
      <c r="I88" s="33">
        <f>0</f>
        <v>0</v>
      </c>
      <c r="J88" s="33">
        <f>1401409</f>
        <v>1401409</v>
      </c>
      <c r="K88" s="33">
        <f>0</f>
        <v>0</v>
      </c>
      <c r="L88" s="33">
        <f>0</f>
        <v>0</v>
      </c>
    </row>
    <row r="89" spans="1:13" ht="33.75" customHeight="1" x14ac:dyDescent="0.2">
      <c r="B89" s="55" t="s">
        <v>59</v>
      </c>
      <c r="C89" s="56"/>
      <c r="D89" s="56"/>
      <c r="E89" s="57"/>
      <c r="F89" s="33">
        <f>139443819.74</f>
        <v>139443819.74000001</v>
      </c>
      <c r="G89" s="33">
        <f>5569166.7</f>
        <v>5569166.7000000002</v>
      </c>
      <c r="H89" s="33">
        <f>167848.45</f>
        <v>167848.45</v>
      </c>
      <c r="I89" s="33">
        <f>358224.21</f>
        <v>358224.21</v>
      </c>
      <c r="J89" s="33">
        <f>4933508</f>
        <v>4933508</v>
      </c>
      <c r="K89" s="33">
        <f>109586.04</f>
        <v>109586.04</v>
      </c>
      <c r="L89" s="33">
        <f>133874653.04</f>
        <v>133874653.04000001</v>
      </c>
    </row>
    <row r="90" spans="1:13" ht="22.5" customHeight="1" x14ac:dyDescent="0.2">
      <c r="B90" s="55" t="s">
        <v>60</v>
      </c>
      <c r="C90" s="56"/>
      <c r="D90" s="56"/>
      <c r="E90" s="57"/>
      <c r="F90" s="33">
        <f>6455075.38</f>
        <v>6455075.3799999999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6455075.38</f>
        <v>6455075.3799999999</v>
      </c>
    </row>
    <row r="91" spans="1:13" ht="33.75" customHeight="1" x14ac:dyDescent="0.2">
      <c r="B91" s="55" t="s">
        <v>61</v>
      </c>
      <c r="C91" s="56"/>
      <c r="D91" s="56"/>
      <c r="E91" s="57"/>
      <c r="F91" s="33">
        <f>24855.02</f>
        <v>24855.02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24855.02</f>
        <v>24855.02</v>
      </c>
    </row>
    <row r="92" spans="1:13" ht="33.75" customHeight="1" x14ac:dyDescent="0.2">
      <c r="B92" s="55" t="s">
        <v>62</v>
      </c>
      <c r="C92" s="56"/>
      <c r="D92" s="56"/>
      <c r="E92" s="57"/>
      <c r="F92" s="33">
        <f>303668.88</f>
        <v>303668.88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303668.88</f>
        <v>303668.88</v>
      </c>
    </row>
    <row r="93" spans="1:13" ht="22.5" customHeight="1" x14ac:dyDescent="0.2">
      <c r="B93" s="55" t="s">
        <v>63</v>
      </c>
      <c r="C93" s="56"/>
      <c r="D93" s="56"/>
      <c r="E93" s="57"/>
      <c r="F93" s="33">
        <f>30000</f>
        <v>30000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30000</f>
        <v>30000</v>
      </c>
    </row>
    <row r="96" spans="1:13" ht="75" customHeight="1" x14ac:dyDescent="0.2">
      <c r="A96" s="40" t="str">
        <f>CONCATENATE("Informacja z wykonania budżetów gmin za ",$C$104," ",$B$105," roku   ",$B$107,"")</f>
        <v xml:space="preserve">Informacja z wykonania budżetów gmin za I Kwartał 2024 roku   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70"/>
      <c r="E98" s="70"/>
      <c r="F98" s="71"/>
      <c r="G98" s="62" t="s">
        <v>3</v>
      </c>
      <c r="H98" s="71"/>
      <c r="I98" s="62" t="s">
        <v>4</v>
      </c>
      <c r="J98" s="71"/>
      <c r="K98" s="5"/>
    </row>
    <row r="99" spans="1:11" ht="13.5" customHeight="1" x14ac:dyDescent="0.2">
      <c r="B99" s="6"/>
      <c r="C99" s="72" t="s">
        <v>5</v>
      </c>
      <c r="D99" s="73"/>
      <c r="E99" s="73"/>
      <c r="F99" s="74"/>
      <c r="G99" s="66">
        <f>2223</f>
        <v>2223</v>
      </c>
      <c r="H99" s="67"/>
      <c r="I99" s="68">
        <f>9462400187.49999</f>
        <v>9462400187.4999905</v>
      </c>
      <c r="J99" s="69"/>
      <c r="K99" s="7"/>
    </row>
    <row r="100" spans="1:11" ht="13.5" customHeight="1" x14ac:dyDescent="0.2">
      <c r="B100" s="6"/>
      <c r="C100" s="55" t="s">
        <v>6</v>
      </c>
      <c r="D100" s="56"/>
      <c r="E100" s="56"/>
      <c r="F100" s="57"/>
      <c r="G100" s="75">
        <f>188</f>
        <v>188</v>
      </c>
      <c r="H100" s="76"/>
      <c r="I100" s="77">
        <f>-354663573.02</f>
        <v>-354663573.01999998</v>
      </c>
      <c r="J100" s="78"/>
      <c r="K100" s="7"/>
    </row>
    <row r="101" spans="1:11" ht="13.5" customHeight="1" x14ac:dyDescent="0.2">
      <c r="B101" s="6"/>
      <c r="C101" s="72" t="s">
        <v>7</v>
      </c>
      <c r="D101" s="73"/>
      <c r="E101" s="73"/>
      <c r="F101" s="74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1</f>
        <v>1</v>
      </c>
      <c r="C104" s="8" t="str">
        <f>IF(B104=1,"I Kwartał",IF(B104=2,"II Kwartały",IF(B104=3,"III Kwartały",IF(B104=4,"IV Kwartały","-"))))</f>
        <v>I Kwartał</v>
      </c>
    </row>
    <row r="105" spans="1:11" ht="13.5" customHeight="1" x14ac:dyDescent="0.2">
      <c r="A105" s="8" t="s">
        <v>9</v>
      </c>
      <c r="B105" s="8">
        <f>2024</f>
        <v>2024</v>
      </c>
      <c r="C105" s="9"/>
    </row>
    <row r="106" spans="1:11" ht="13.5" customHeight="1" x14ac:dyDescent="0.2">
      <c r="A106" s="8" t="s">
        <v>10</v>
      </c>
      <c r="B106" s="10" t="str">
        <f>"May 21 2024 12:00AM"</f>
        <v>May 21 2024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B38:B41"/>
    <mergeCell ref="N39:N41"/>
    <mergeCell ref="O39:O41"/>
    <mergeCell ref="H81:H84"/>
    <mergeCell ref="I81:I84"/>
    <mergeCell ref="J81:J84"/>
    <mergeCell ref="B78:M78"/>
    <mergeCell ref="D39:D41"/>
    <mergeCell ref="M39:M41"/>
    <mergeCell ref="B43:Q43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A1:M1"/>
    <mergeCell ref="C5:M5"/>
    <mergeCell ref="A3:M3"/>
    <mergeCell ref="K7:K10"/>
    <mergeCell ref="C7:C10"/>
    <mergeCell ref="H7:H10"/>
    <mergeCell ref="I7:I10"/>
    <mergeCell ref="J7:J10"/>
    <mergeCell ref="L7:L10"/>
    <mergeCell ref="M7:M10"/>
    <mergeCell ref="B6:B10"/>
    <mergeCell ref="A6:A10"/>
    <mergeCell ref="C6:N6"/>
    <mergeCell ref="D7:D10"/>
    <mergeCell ref="E7:E10"/>
    <mergeCell ref="G7:G10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80:L80"/>
    <mergeCell ref="O6:Q6"/>
    <mergeCell ref="O7:O10"/>
    <mergeCell ref="A77:M77"/>
    <mergeCell ref="L39:L41"/>
    <mergeCell ref="P39:P41"/>
    <mergeCell ref="Q39:Q41"/>
    <mergeCell ref="Q7:Q10"/>
    <mergeCell ref="C38:N38"/>
    <mergeCell ref="N7:N10"/>
    <mergeCell ref="P7:P10"/>
    <mergeCell ref="A34:M34"/>
    <mergeCell ref="O38:Q38"/>
    <mergeCell ref="A36:M36"/>
    <mergeCell ref="F7:F10"/>
    <mergeCell ref="B12:Q12"/>
    <mergeCell ref="A38:A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2024-05-27T12:30:21Z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2024-05-23T09:37:09.6338057+02:00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GRN-1801e47a-e2b1-4846-968f-49f77b784247</vt:lpwstr>
  </property>
  <property fmtid="{D5CDD505-2E9C-101B-9397-08002B2CF9AE}" pid="7" name="MFHash">
    <vt:lpwstr>ksJIPox9Bdbkj1s1oGJJ2TpzlePT1r2ebJnfts+i8P0=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