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6 Kalkulator emerytalny ostat zam\2026 Kalkulator SM\"/>
    </mc:Choice>
  </mc:AlternateContent>
  <workbookProtection workbookAlgorithmName="SHA-512" workbookHashValue="v5WXy/IJde2peWKpQOZNYrm90ejsikChr8eoR3uD1b3yhlgtgUAqHavEX6ZBbilbtkPOssfdbo2BXql3x9xZzg==" workbookSaltValue="W8Zx0NhVZSWBRje5rbclNA==" workbookSpinCount="100000" lockStructure="1"/>
  <bookViews>
    <workbookView xWindow="30756" yWindow="1416" windowWidth="21600" windowHeight="11100"/>
  </bookViews>
  <sheets>
    <sheet name="INSTRUKCJA" sheetId="21" r:id="rId1"/>
    <sheet name="Podstawa wymiaru 10 lat SM" sheetId="17" r:id="rId2"/>
    <sheet name="art. 18e SM" sheetId="16" r:id="rId3"/>
    <sheet name="art. 15 albo 15a SM" sheetId="1" r:id="rId4"/>
    <sheet name="art. 15aa SM" sheetId="15" r:id="rId5"/>
    <sheet name="Roboczy" sheetId="2" state="hidden" r:id="rId6"/>
  </sheets>
  <definedNames>
    <definedName name="_xlnm.Print_Area" localSheetId="3">'art. 15 albo 15a SM'!$G$1:$L$25</definedName>
    <definedName name="_xlnm.Print_Area" localSheetId="4">'art. 15aa SM'!$G$1:$L$24</definedName>
    <definedName name="_xlnm.Print_Area" localSheetId="2">'art. 18e SM'!$G$1:$L$31</definedName>
    <definedName name="_xlnm.Print_Area" localSheetId="0">INSTRUKCJA!$A$1:$R$52</definedName>
    <definedName name="Roczny">!$I$3:$I$33</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7" l="1"/>
  <c r="E4" i="16" l="1"/>
  <c r="E28" i="16" l="1"/>
  <c r="D28" i="16"/>
  <c r="C28" i="16"/>
  <c r="E27" i="16"/>
  <c r="D27" i="16"/>
  <c r="C27" i="16"/>
  <c r="E26" i="16"/>
  <c r="D26" i="16"/>
  <c r="C26" i="16"/>
  <c r="E25" i="16"/>
  <c r="D25" i="16"/>
  <c r="C25" i="16"/>
  <c r="E24" i="16"/>
  <c r="D24" i="16"/>
  <c r="C24" i="16"/>
  <c r="E23" i="16"/>
  <c r="D23" i="16"/>
  <c r="C23" i="16"/>
  <c r="E22" i="16"/>
  <c r="D22" i="16"/>
  <c r="C22" i="16"/>
  <c r="E21" i="16"/>
  <c r="D21" i="16"/>
  <c r="C21" i="16"/>
  <c r="D51" i="17"/>
  <c r="E51" i="17" s="1"/>
  <c r="E72" i="15" l="1"/>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51" i="15"/>
  <c r="D51" i="15"/>
  <c r="C51" i="15"/>
  <c r="E50" i="15"/>
  <c r="D50" i="15"/>
  <c r="C50" i="15"/>
  <c r="E49" i="15"/>
  <c r="D49" i="15"/>
  <c r="C49" i="15"/>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D50" i="17" l="1"/>
  <c r="E50" i="17" s="1"/>
  <c r="E38" i="15" l="1"/>
  <c r="D38" i="15"/>
  <c r="C38" i="15"/>
  <c r="E37" i="15"/>
  <c r="D37" i="15"/>
  <c r="C37" i="15"/>
  <c r="E36" i="15"/>
  <c r="D36" i="15"/>
  <c r="C36" i="15"/>
  <c r="E35" i="15"/>
  <c r="D35" i="15"/>
  <c r="C35" i="15"/>
  <c r="E34" i="15"/>
  <c r="D34" i="15"/>
  <c r="C34" i="15"/>
  <c r="E33" i="15"/>
  <c r="D33" i="15"/>
  <c r="C33" i="15"/>
  <c r="E32" i="15"/>
  <c r="D32" i="15"/>
  <c r="C32" i="15"/>
  <c r="E36" i="1"/>
  <c r="D36" i="1"/>
  <c r="C36" i="1"/>
  <c r="E35" i="1"/>
  <c r="D35" i="1"/>
  <c r="C35" i="1"/>
  <c r="E34" i="1"/>
  <c r="D34" i="1"/>
  <c r="C34" i="1"/>
  <c r="E33" i="1"/>
  <c r="D33" i="1"/>
  <c r="C33" i="1"/>
  <c r="E32" i="1"/>
  <c r="D32" i="1"/>
  <c r="C32" i="1"/>
  <c r="E31" i="1"/>
  <c r="D31" i="1"/>
  <c r="C31" i="1"/>
  <c r="C5" i="15" l="1"/>
  <c r="C5" i="1"/>
  <c r="C5" i="16"/>
  <c r="E4" i="15" l="1"/>
  <c r="E4" i="1"/>
  <c r="G12" i="15" l="1"/>
  <c r="G13" i="1" l="1"/>
  <c r="G12" i="16"/>
  <c r="J6" i="1" l="1"/>
  <c r="I6" i="1"/>
  <c r="H6" i="1"/>
  <c r="J5" i="1"/>
  <c r="I5" i="1"/>
  <c r="H5" i="1"/>
  <c r="L6" i="1" l="1"/>
  <c r="L5" i="1"/>
  <c r="D49" i="17" l="1"/>
  <c r="E49" i="17" s="1"/>
  <c r="D48" i="17" l="1"/>
  <c r="E48" i="17" s="1"/>
  <c r="D47" i="17"/>
  <c r="E47" i="17" s="1"/>
  <c r="D39" i="17"/>
  <c r="E39" i="17" s="1"/>
  <c r="D44" i="17" l="1"/>
  <c r="D43" i="17"/>
  <c r="E43" i="17" l="1"/>
  <c r="D42" i="17" l="1"/>
  <c r="E42" i="17" s="1"/>
  <c r="D24" i="17" l="1"/>
  <c r="E24" i="17" s="1"/>
  <c r="D23" i="17"/>
  <c r="E23" i="17" s="1"/>
  <c r="D22" i="17"/>
  <c r="E22" i="17" s="1"/>
  <c r="D21" i="17"/>
  <c r="E21" i="17" s="1"/>
  <c r="D20" i="17"/>
  <c r="E20" i="17" s="1"/>
  <c r="D19" i="17"/>
  <c r="E19" i="17" s="1"/>
  <c r="D18" i="17"/>
  <c r="E18" i="17" s="1"/>
  <c r="D17" i="17"/>
  <c r="E17" i="17" s="1"/>
  <c r="D16" i="17"/>
  <c r="E16" i="17" s="1"/>
  <c r="D15" i="17"/>
  <c r="E15" i="17" s="1"/>
  <c r="D14" i="17"/>
  <c r="D13" i="17"/>
  <c r="E13" i="17" s="1"/>
  <c r="D12" i="17"/>
  <c r="E12" i="17" s="1"/>
  <c r="D11" i="17"/>
  <c r="E11" i="17" s="1"/>
  <c r="D10" i="17"/>
  <c r="E10" i="17" s="1"/>
  <c r="D9" i="17"/>
  <c r="E9" i="17" s="1"/>
  <c r="D8" i="17"/>
  <c r="E8" i="17" s="1"/>
  <c r="D7" i="17"/>
  <c r="E7" i="17" s="1"/>
  <c r="D6" i="17"/>
  <c r="E6" i="17" s="1"/>
  <c r="D5" i="17"/>
  <c r="E5" i="17" s="1"/>
  <c r="E14" i="17" l="1"/>
  <c r="F21" i="17" s="1"/>
  <c r="F24" i="17"/>
  <c r="F20" i="17" l="1"/>
  <c r="F22" i="17"/>
  <c r="F23" i="17"/>
  <c r="F16" i="17"/>
  <c r="F19" i="17"/>
  <c r="F18" i="17"/>
  <c r="F15" i="17"/>
  <c r="F17" i="17"/>
  <c r="F14" i="17"/>
  <c r="E76" i="15"/>
  <c r="D76" i="15"/>
  <c r="C76" i="15"/>
  <c r="E75" i="15"/>
  <c r="D75" i="15"/>
  <c r="C75" i="15"/>
  <c r="E74" i="15"/>
  <c r="D74" i="15"/>
  <c r="C74" i="15"/>
  <c r="E73" i="15"/>
  <c r="D73" i="15"/>
  <c r="C73" i="15"/>
  <c r="E48" i="15"/>
  <c r="D48" i="15"/>
  <c r="C48" i="15"/>
  <c r="E47" i="15"/>
  <c r="D47" i="15"/>
  <c r="C47" i="15"/>
  <c r="E46" i="15"/>
  <c r="D46" i="15"/>
  <c r="C46" i="15"/>
  <c r="E90" i="1"/>
  <c r="E89" i="1"/>
  <c r="E64" i="1"/>
  <c r="E63" i="1"/>
  <c r="E62" i="1"/>
  <c r="D90" i="1"/>
  <c r="D89" i="1"/>
  <c r="D64" i="1"/>
  <c r="D63" i="1"/>
  <c r="D62" i="1"/>
  <c r="C90" i="1"/>
  <c r="C89" i="1"/>
  <c r="C64" i="1"/>
  <c r="C63" i="1"/>
  <c r="C62" i="1"/>
  <c r="C61" i="1"/>
  <c r="E61" i="1"/>
  <c r="E60" i="1"/>
  <c r="D61" i="1"/>
  <c r="D60" i="1"/>
  <c r="C60" i="1"/>
  <c r="D46" i="17" l="1"/>
  <c r="E46" i="17" s="1"/>
  <c r="D45" i="17"/>
  <c r="E45" i="17" s="1"/>
  <c r="D41" i="17"/>
  <c r="E41" i="17" s="1"/>
  <c r="D40" i="17"/>
  <c r="E40" i="17" s="1"/>
  <c r="D38" i="17"/>
  <c r="E38" i="17" s="1"/>
  <c r="D37" i="17"/>
  <c r="E37" i="17" s="1"/>
  <c r="D36" i="17"/>
  <c r="E36" i="17" s="1"/>
  <c r="D35" i="17"/>
  <c r="E35" i="17" s="1"/>
  <c r="D34" i="17"/>
  <c r="E34" i="17" s="1"/>
  <c r="D33" i="17"/>
  <c r="E33" i="17" s="1"/>
  <c r="D32" i="17"/>
  <c r="E32" i="17" s="1"/>
  <c r="D31" i="17"/>
  <c r="E31" i="17" s="1"/>
  <c r="D30" i="17"/>
  <c r="E30" i="17" s="1"/>
  <c r="D29" i="17"/>
  <c r="E29" i="17" s="1"/>
  <c r="D28" i="17"/>
  <c r="E28" i="17" s="1"/>
  <c r="D27" i="17"/>
  <c r="E27" i="17" s="1"/>
  <c r="D26" i="17"/>
  <c r="E26" i="17" s="1"/>
  <c r="D25" i="17"/>
  <c r="E25" i="17" s="1"/>
  <c r="F51" i="17" l="1"/>
  <c r="F50" i="17"/>
  <c r="F49" i="17"/>
  <c r="F47" i="17"/>
  <c r="F48" i="17"/>
  <c r="F46" i="17"/>
  <c r="F37" i="17"/>
  <c r="F39" i="17"/>
  <c r="F40" i="17"/>
  <c r="F41" i="17"/>
  <c r="F36" i="17"/>
  <c r="F32" i="17"/>
  <c r="F31" i="17"/>
  <c r="F30" i="17"/>
  <c r="F28" i="17"/>
  <c r="F34" i="17"/>
  <c r="F29" i="17"/>
  <c r="F27" i="17"/>
  <c r="F26" i="17"/>
  <c r="F25" i="17"/>
  <c r="F33" i="17"/>
  <c r="F42" i="17"/>
  <c r="F45" i="17"/>
  <c r="F38" i="17"/>
  <c r="F35" i="17"/>
  <c r="F43" i="17"/>
  <c r="E29" i="16"/>
  <c r="D29" i="16"/>
  <c r="C29" i="16"/>
  <c r="E20" i="16"/>
  <c r="D20" i="16"/>
  <c r="C20" i="16"/>
  <c r="E87" i="15"/>
  <c r="D87" i="15"/>
  <c r="E52" i="17" l="1"/>
  <c r="F52" i="17"/>
  <c r="E40" i="15"/>
  <c r="D40" i="15"/>
  <c r="C40" i="15"/>
  <c r="E39" i="15"/>
  <c r="D39" i="15"/>
  <c r="C39"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47" i="16"/>
  <c r="D47" i="16"/>
  <c r="C47" i="16"/>
  <c r="E46" i="16"/>
  <c r="D46" i="16"/>
  <c r="C46" i="16"/>
  <c r="E45" i="16"/>
  <c r="D45" i="16"/>
  <c r="C45" i="16"/>
  <c r="E44" i="16"/>
  <c r="D44" i="16"/>
  <c r="C44" i="16"/>
  <c r="E43" i="16"/>
  <c r="D43" i="16"/>
  <c r="C43" i="16"/>
  <c r="E42" i="16"/>
  <c r="D42" i="16"/>
  <c r="C42" i="16"/>
  <c r="E41" i="16"/>
  <c r="D41" i="16"/>
  <c r="C41" i="16"/>
  <c r="E40" i="16"/>
  <c r="D40" i="16"/>
  <c r="C40" i="16"/>
  <c r="E39" i="16"/>
  <c r="D39" i="16"/>
  <c r="C39" i="16"/>
  <c r="E38" i="16"/>
  <c r="D38" i="16"/>
  <c r="C38" i="16"/>
  <c r="E37" i="16"/>
  <c r="D37" i="16"/>
  <c r="C37" i="16"/>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7" i="1"/>
  <c r="D37" i="1"/>
  <c r="C37"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C30" i="16" l="1"/>
  <c r="C21" i="15"/>
  <c r="C77" i="15"/>
  <c r="C88" i="15" s="1"/>
  <c r="D21" i="15"/>
  <c r="D82" i="15" s="1"/>
  <c r="E21" i="15"/>
  <c r="E82" i="15" s="1"/>
  <c r="D41" i="15"/>
  <c r="C41" i="15"/>
  <c r="D77" i="15"/>
  <c r="D88" i="15" s="1"/>
  <c r="E41" i="15"/>
  <c r="E77" i="15"/>
  <c r="D48" i="16"/>
  <c r="D30" i="16"/>
  <c r="E48" i="16"/>
  <c r="E30" i="16"/>
  <c r="C48" i="16"/>
  <c r="D21" i="1"/>
  <c r="E21" i="1"/>
  <c r="C21" i="1"/>
  <c r="C100" i="1" s="1"/>
  <c r="E91" i="1"/>
  <c r="C91" i="1"/>
  <c r="C101" i="1" s="1"/>
  <c r="D91" i="1"/>
  <c r="D101" i="1" s="1"/>
  <c r="E56" i="1"/>
  <c r="C56" i="1"/>
  <c r="D56" i="1"/>
  <c r="E41" i="1"/>
  <c r="C41" i="1"/>
  <c r="D41" i="1"/>
  <c r="E78" i="15" l="1"/>
  <c r="E83" i="15" s="1"/>
  <c r="E84" i="15" s="1"/>
  <c r="J4" i="15" s="1"/>
  <c r="E88" i="15"/>
  <c r="E89" i="15" s="1"/>
  <c r="J4" i="16"/>
  <c r="J9" i="16"/>
  <c r="I4" i="16"/>
  <c r="I9" i="16"/>
  <c r="H9" i="16"/>
  <c r="L14" i="16" s="1"/>
  <c r="H4" i="16"/>
  <c r="D78" i="15"/>
  <c r="C87" i="15"/>
  <c r="C82" i="15"/>
  <c r="E92" i="1"/>
  <c r="E96" i="1" s="1"/>
  <c r="E101" i="1"/>
  <c r="D95" i="1"/>
  <c r="D100" i="1"/>
  <c r="E95" i="1"/>
  <c r="E100" i="1"/>
  <c r="C95" i="1"/>
  <c r="C78" i="15"/>
  <c r="K4" i="16"/>
  <c r="K6" i="1"/>
  <c r="D92" i="1"/>
  <c r="D96" i="1" s="1"/>
  <c r="C92" i="1"/>
  <c r="C96" i="1" s="1"/>
  <c r="D89" i="15" l="1"/>
  <c r="K5" i="1"/>
  <c r="D83" i="15"/>
  <c r="D84" i="15" s="1"/>
  <c r="I4" i="15" s="1"/>
  <c r="K5" i="16"/>
  <c r="K16" i="16" s="1"/>
  <c r="E102" i="1"/>
  <c r="D97" i="1"/>
  <c r="I4" i="1" s="1"/>
  <c r="I10" i="1" s="1"/>
  <c r="C89" i="15"/>
  <c r="C83" i="15"/>
  <c r="E97" i="1"/>
  <c r="J4" i="1" s="1"/>
  <c r="C97" i="1"/>
  <c r="H4" i="1" s="1"/>
  <c r="H10" i="1" s="1"/>
  <c r="L15" i="1" s="1"/>
  <c r="D102" i="1"/>
  <c r="C102" i="1"/>
  <c r="J5" i="15" l="1"/>
  <c r="K5" i="15"/>
  <c r="H5" i="15"/>
  <c r="I5" i="15"/>
  <c r="L4" i="15"/>
  <c r="K4" i="15"/>
  <c r="L4" i="1"/>
  <c r="J10" i="1"/>
  <c r="C84" i="15"/>
  <c r="H4" i="15" s="1"/>
  <c r="K4" i="1"/>
  <c r="K7" i="1" s="1"/>
  <c r="J9" i="15" l="1"/>
  <c r="K6" i="15" l="1"/>
  <c r="K16" i="15" s="1"/>
  <c r="I9" i="15"/>
  <c r="H9" i="15"/>
  <c r="L14" i="15" s="1"/>
  <c r="E53" i="17" l="1"/>
  <c r="E58" i="17" l="1"/>
  <c r="D69" i="17" s="1"/>
  <c r="D70" i="17" s="1"/>
  <c r="K13" i="15" l="1"/>
  <c r="K15" i="15" s="1"/>
  <c r="K13" i="16"/>
  <c r="K15" i="16" s="1"/>
  <c r="K17" i="16" s="1"/>
  <c r="K14" i="1"/>
  <c r="K16" i="1" s="1"/>
  <c r="K18" i="16" l="1"/>
  <c r="K19" i="16"/>
  <c r="K17" i="15"/>
  <c r="K20" i="16" l="1"/>
  <c r="K18" i="15"/>
  <c r="K19" i="15"/>
  <c r="K20" i="15" l="1"/>
  <c r="K17" i="1" l="1"/>
  <c r="K18" i="1" s="1"/>
  <c r="K19" i="1" l="1"/>
  <c r="K20" i="1"/>
  <c r="K21" i="1" l="1"/>
</calcChain>
</file>

<file path=xl/comments1.xml><?xml version="1.0" encoding="utf-8"?>
<comments xmlns="http://schemas.openxmlformats.org/spreadsheetml/2006/main">
  <authors>
    <author>Teresa Kozoń-Konter</author>
  </authors>
  <commentLis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w SG liczonych w wymiarze półtorakrotnym (TAB. G.)</t>
        </r>
      </text>
    </commen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comments3.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 xml:space="preserve">Proszę wprowadzić datę zwolnienia ze służby do komórki A66 w zakładce "Podstawa wymiaru 10 lat SM" </t>
        </r>
      </text>
    </comment>
  </commentList>
</comments>
</file>

<file path=xl/sharedStrings.xml><?xml version="1.0" encoding="utf-8"?>
<sst xmlns="http://schemas.openxmlformats.org/spreadsheetml/2006/main" count="297" uniqueCount="127">
  <si>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</si>
  <si>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</si>
  <si>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</si>
  <si>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</si>
  <si>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</si>
  <si>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</si>
  <si>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</si>
  <si>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</si>
  <si>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</si>
  <si>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</si>
  <si>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</si>
  <si>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</si>
  <si>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</si>
  <si>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</si>
  <si>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</si>
  <si>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</si>
  <si>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</si>
  <si>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</si>
  <si>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</si>
  <si>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</si>
  <si>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</si>
  <si>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</si>
  <si>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</si>
  <si>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</si>
  <si>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</si>
  <si>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</si>
  <si>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</si>
  <si>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</si>
  <si>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</si>
  <si>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</si>
  <si>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</si>
  <si>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</si>
  <si>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</si>
  <si>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Okresy służby po 0,5% za rozpoczęty miesiąc</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</si>
  <si>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</si>
  <si>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</si>
  <si>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</si>
  <si>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</si>
  <si>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</si>
  <si>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</si>
  <si>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</si>
  <si>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</si>
  <si>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</si>
  <si>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</si>
  <si>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</si>
  <si>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</si>
  <si>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</si>
  <si>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</si>
  <si>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</si>
  <si>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</si>
  <si>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</si>
  <si>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</si>
  <si>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</si>
  <si>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</si>
  <si>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</si>
  <si>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</si>
  <si>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</si>
  <si>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</si>
  <si>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</si>
  <si>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</si>
  <si>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</si>
  <si>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</si>
  <si>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</si>
  <si>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</si>
  <si>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</si>
  <si>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</si>
  <si>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</si>
  <si>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ŁĄCZNIE (TAB. A. + TAB. D.) SŁUŻBA 
i RÓWNORZĘDNE - DO WYSOKOŚCI</t>
  </si>
  <si>
    <t>ŁĄCZNIE (TAB. A.+ TAB.D. ) SŁUŻBA 
 i RÓWNORZĘDNE - DO PRAWA 
w wymiarze pojedynczym (1 x 1)</t>
  </si>
  <si>
    <t>(TAB. A.)  SUMA [służba i równorzędne(1 x 1)]</t>
  </si>
  <si>
    <t>(TAB. A.)  SUMA [służba i równorzędne (1 x 1)]</t>
  </si>
  <si>
    <t>art 15aa</t>
  </si>
  <si>
    <t xml:space="preserve">Wysokość emerytury  -  kwota do wypłaty </t>
  </si>
  <si>
    <t>Kwota emerytury, w wysokośći "tzw. brutto"</t>
  </si>
  <si>
    <t>SM</t>
  </si>
  <si>
    <t>A. Obliczanie wskaźnika wysokości podstawy wymiaru z 10 kolejnych najkorzystniejszych 
lat dla funkcjonariusza zwolninego ze Straży Marszałkowskiej</t>
  </si>
  <si>
    <t>20.05-31.12.2018</t>
  </si>
  <si>
    <t>01.01-19.05.2018</t>
  </si>
  <si>
    <t>Obowiązkowo wypełniamy zakładkę "Podstawa wymiaru 10 lat SM"</t>
  </si>
  <si>
    <r>
      <t>Wskaźnik wysokości podstawy wymiaru WWPW</t>
    </r>
    <r>
      <rPr>
        <b/>
        <i/>
        <sz val="12"/>
        <rFont val="Calibri"/>
        <family val="2"/>
        <charset val="238"/>
        <scheme val="minor"/>
      </rPr>
      <t xml:space="preserve"> </t>
    </r>
    <r>
      <rPr>
        <b/>
        <sz val="12"/>
        <rFont val="Calibri"/>
        <family val="2"/>
        <charset val="238"/>
        <scheme val="minor"/>
      </rPr>
      <t>(obliczony samodzielnie)</t>
    </r>
  </si>
  <si>
    <r>
      <rPr>
        <b/>
        <sz val="12"/>
        <color rgb="FF002060"/>
        <rFont val="Calibri"/>
        <family val="2"/>
        <charset val="238"/>
        <scheme val="minor"/>
      </rPr>
      <t>Wskaźnik wysokości podstawy wymiaru WWPW przyjęty do ustalenia podstawy wymiaru emerytury</t>
    </r>
    <r>
      <rPr>
        <b/>
        <sz val="12"/>
        <color rgb="FFC00000"/>
        <rFont val="Calibri"/>
        <family val="2"/>
        <charset val="238"/>
        <scheme val="minor"/>
      </rPr>
      <t xml:space="preserve"> </t>
    </r>
  </si>
  <si>
    <r>
      <t>Data zwolnienia ze służby -</t>
    </r>
    <r>
      <rPr>
        <b/>
        <sz val="10"/>
        <rFont val="Calibri"/>
        <family val="2"/>
        <charset val="238"/>
        <scheme val="minor"/>
      </rPr>
      <t xml:space="preserve"> pobierana z zakładki "Podstawa wymiaru 10 lat SM"</t>
    </r>
  </si>
  <si>
    <t>art. 18e ustawy SM</t>
  </si>
  <si>
    <t>a.18</t>
  </si>
  <si>
    <t>W TABELI A. w Kolumnie 2 wypełniamy pola jasne - Roczne wynagrodzenie lub uposażenie funkcjonariusza</t>
  </si>
  <si>
    <t xml:space="preserve">Przeciętne miesięczne uposażenie w Straży Marszałkowskiej </t>
  </si>
  <si>
    <t>WWPW przyjęty do ustalenia do podstawy emerytury</t>
  </si>
  <si>
    <t>W TABELI B. wypełniamy pole jasne, tj. datę zwolnienia ze służby. Kwota miesięcznego uposażenia z dnia zwolnienia ze służby pobierana jest automatycznie z TABELI C.</t>
  </si>
  <si>
    <t>art. 15 albo art. 15a SM</t>
  </si>
  <si>
    <t>Łączna wysługa emerytalna</t>
  </si>
  <si>
    <r>
      <t>Miesięczna wysokość pobieranego świadczenia za długoletnią służbę</t>
    </r>
    <r>
      <rPr>
        <b/>
        <vertAlign val="superscript"/>
        <sz val="11"/>
        <color theme="1"/>
        <rFont val="Calibri"/>
        <family val="2"/>
        <charset val="238"/>
        <scheme val="minor"/>
      </rPr>
      <t>*)</t>
    </r>
  </si>
  <si>
    <r>
      <t xml:space="preserve">Kwota przeciętnego miesięcznego  uposażenia 
z dnia zwolnienia
</t>
    </r>
    <r>
      <rPr>
        <b/>
        <i/>
        <sz val="11"/>
        <color rgb="FFC00000"/>
        <rFont val="Calibri"/>
        <family val="2"/>
        <charset val="238"/>
        <scheme val="minor"/>
      </rPr>
      <t>[Pobierana z TABELI C.]</t>
    </r>
  </si>
  <si>
    <t>Podstawa wymiaru emerytury (ze świadczeniem za długoletnią służbę, jeżeli lata wysługi emerytalnej &gt; 32)</t>
  </si>
  <si>
    <t>Podstawa wymiaru (bez świadczenia za długoletnią służbę) - pobierana z zakładki "Podstawa wymiaru 10 lat SM"</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</si>
  <si>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C20&gt;=32), </t>
    </r>
    <r>
      <rPr>
        <b/>
        <sz val="10"/>
        <color theme="1"/>
        <rFont val="Calibri"/>
        <family val="2"/>
        <charset val="238"/>
        <scheme val="minor"/>
      </rPr>
      <t xml:space="preserve">
to do</t>
    </r>
    <r>
      <rPr>
        <b/>
        <sz val="10"/>
        <color rgb="FFC00000"/>
        <rFont val="Calibri"/>
        <family val="2"/>
        <charset val="238"/>
        <scheme val="minor"/>
      </rPr>
      <t xml:space="preserve"> komóki K13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</si>
  <si>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</si>
  <si>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</si>
  <si>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rPr>
        <b/>
        <vertAlign val="superscript"/>
        <sz val="11"/>
        <rFont val="Calibri"/>
        <family val="2"/>
        <charset val="238"/>
        <scheme val="minor"/>
      </rPr>
      <t xml:space="preserve">*) </t>
    </r>
    <r>
      <rPr>
        <b/>
        <sz val="11"/>
        <rFont val="Calibri"/>
        <family val="2"/>
        <charset val="238"/>
        <scheme val="minor"/>
      </rPr>
      <t xml:space="preserve">Podstawa wymiaru - średnie uposażenie z 10 lat służby - bez doliczonego świadczenia za długoletnią służbę. 
</t>
    </r>
    <r>
      <rPr>
        <b/>
        <vertAlign val="superscript"/>
        <sz val="11"/>
        <rFont val="Calibri"/>
        <family val="2"/>
        <charset val="238"/>
        <scheme val="minor"/>
      </rPr>
      <t>**)</t>
    </r>
    <r>
      <rPr>
        <b/>
        <sz val="11"/>
        <rFont val="Calibri"/>
        <family val="2"/>
        <charset val="238"/>
        <scheme val="minor"/>
      </rPr>
      <t xml:space="preserve"> Jeżeli funkcjonariusz na dzień zwolnienia ze służby posiada</t>
    </r>
    <r>
      <rPr>
        <b/>
        <sz val="11"/>
        <color rgb="FFC00000"/>
        <rFont val="Calibri"/>
        <family val="2"/>
        <charset val="238"/>
        <scheme val="minor"/>
      </rPr>
      <t xml:space="preserve"> co najmniej 32 lata wysługi emerytalnej  (wartość w komórce H9&gt;=32),</t>
    </r>
    <r>
      <rPr>
        <b/>
        <sz val="11"/>
        <rFont val="Calibri"/>
        <family val="2"/>
        <charset val="238"/>
        <scheme val="minor"/>
      </rPr>
      <t xml:space="preserve"> to</t>
    </r>
    <r>
      <rPr>
        <b/>
        <sz val="11"/>
        <color rgb="FFC00000"/>
        <rFont val="Calibri"/>
        <family val="2"/>
        <charset val="238"/>
        <scheme val="minor"/>
      </rPr>
      <t xml:space="preserve"> do komóki K14</t>
    </r>
    <r>
      <rPr>
        <b/>
        <sz val="11"/>
        <rFont val="Calibri"/>
        <family val="2"/>
        <charset val="238"/>
        <scheme val="minor"/>
      </rPr>
      <t xml:space="preserve"> proszę wprowadzić miesięczną kwotę pobieranego świadczenia za długoletnią służbę. Wprowadzona kwota świadczenia za długoletnią służbę zostanie doliczona do podstawy wymiaru emerytury.</t>
    </r>
  </si>
  <si>
    <t>Łączny % wymiar wysługi emerytalnej&lt;=75%</t>
  </si>
  <si>
    <t>Rodzaje wysługi emerytalnej (bez podwyższenia z art. 18e ust. 2)</t>
  </si>
  <si>
    <t>Rodzaje wysługi emerytalnej (bez podwyższenia z art.15 ust. 2-3b)</t>
  </si>
  <si>
    <t>Przyjęci do służby po raz pierwszy po 1.01.1999 r. i przed 1.10.2003 r. - art. 15aa ustawy</t>
  </si>
  <si>
    <t>Przyjęci do służby po raz pierwszy przed 1.01.2013 r. - art. 15 albo art. 15a ustawy</t>
  </si>
  <si>
    <t>Przyjęci do służby po raz pierwszy po 31.12.2012 r. - art. 18e ustawy</t>
  </si>
  <si>
    <t>Rodzaje wysługi emerytalnej (bez podwyższenia z art. 15 ust. 2-3b)</t>
  </si>
  <si>
    <r>
      <t xml:space="preserve">Data wstąpienia po raz pierwszy do służby (zawodowej)   </t>
    </r>
    <r>
      <rPr>
        <b/>
        <u/>
        <sz val="10"/>
        <color rgb="FFC00000"/>
        <rFont val="Calibri"/>
        <family val="2"/>
        <charset val="238"/>
        <scheme val="minor"/>
      </rPr>
      <t>pole C4 obowiązkowe!</t>
    </r>
  </si>
  <si>
    <t>art. 15aa (wymagane 25 lat służby liczonej 
z okresami równorzędnymi ze służbą)</t>
  </si>
  <si>
    <r>
      <t>Data zwolnienia ze służby -</t>
    </r>
    <r>
      <rPr>
        <b/>
        <sz val="10"/>
        <rFont val="Calibri"/>
        <family val="2"/>
        <charset val="238"/>
        <scheme val="minor"/>
      </rPr>
      <t xml:space="preserve"> pobierana 
z zakładki "Podstawa wymiaru 10 lat SM"</t>
    </r>
  </si>
  <si>
    <r>
      <rPr>
        <b/>
        <sz val="11"/>
        <rFont val="Calibri"/>
        <family val="2"/>
        <charset val="238"/>
        <scheme val="minor"/>
      </rPr>
      <t>Data zwolnienia</t>
    </r>
    <r>
      <rPr>
        <b/>
        <vertAlign val="superscript"/>
        <sz val="11"/>
        <rFont val="Calibri"/>
        <family val="2"/>
        <charset val="238"/>
        <scheme val="minor"/>
      </rPr>
      <t xml:space="preserve"> </t>
    </r>
    <r>
      <rPr>
        <b/>
        <vertAlign val="superscript"/>
        <sz val="11"/>
        <color theme="1"/>
        <rFont val="Calibri"/>
        <family val="2"/>
        <charset val="238"/>
        <scheme val="minor"/>
      </rPr>
      <t xml:space="preserve">
</t>
    </r>
    <r>
      <rPr>
        <b/>
        <i/>
        <sz val="11"/>
        <color rgb="FFC00000"/>
        <rFont val="Calibri"/>
        <family val="2"/>
        <charset val="238"/>
        <scheme val="minor"/>
      </rPr>
      <t>Proszę wprowadzić
 w formacie daty,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</si>
  <si>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</si>
  <si>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</si>
  <si>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</si>
  <si>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gdzie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</si>
  <si>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</si>
  <si>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Przeciętne roczne wynagrodzenie
 lub uposażenie 
w Straży Marszałkowskiej</t>
  </si>
  <si>
    <t>Roczne  wynagrodzenie lub uposażenie funkcjonariusza 
Straży Marszałkowskiej</t>
  </si>
  <si>
    <t>Wskaźnik wysokości podstawy wymiaru WWPW (obliczony automatycznie)</t>
  </si>
  <si>
    <t xml:space="preserve">Suma 10 kolejnych najkorzystniejszych wskaźników </t>
  </si>
  <si>
    <t>SUMA w wymiarze pojedynczym (1:1)</t>
  </si>
  <si>
    <t>SUMA pótorakrotne (LATA x 1,5)</t>
  </si>
  <si>
    <t>W kolumnie E zaznaczonych zostało 10 najkorzystniejszych wskaźników z kolejnych 10 lat</t>
  </si>
  <si>
    <t>Art. 18e</t>
  </si>
  <si>
    <t>Art. 18h</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</si>
  <si>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 albo 15a SM" albo
"art. 15aa SM" albo "art. 18e SM"</t>
  </si>
  <si>
    <t>Obowiązkowo wypełniamy poniższe pola jasne, tj. komórkę C4 i D4:
 "Data wstąpienia po raz pierwszy do służby" w formacie: RRRR-MM-DD</t>
  </si>
  <si>
    <t>Jeżeli do komórki E56 wprowadzono wskaźnik WWPW obliczony samodzielnie, tj. E56&gt;0%, to do obliczenia podstawy wymiaru przyjęty zostanie wskaźnik z tej komórki. Jeżeli E56=0%, to do podstawy wymiaru przyjęty zostanie wskaźnik WWPW obliczony automatycznie w komórce E53</t>
  </si>
  <si>
    <t>Długość okresów służby i okresów równorzędnych ze służbą (do wysokości)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</si>
</sst>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yy"/>
    <numFmt numFmtId="165" formatCode="#,##0.00\ &quot;zł&quot;"/>
    <numFmt numFmtId="166" formatCode="0.0%"/>
    <numFmt numFmtId="167" formatCode="yyyy\-mm\-dd;@"/>
    <numFmt numFmtId="168" formatCode="#,##0.0\ &quot;zł&quot;"/>
  </numFmts>
  <fonts count="48"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i/>
      <sz val="10"/>
      <color rgb="FFC00000"/>
      <name val="Calibri"/>
      <family val="2"/>
      <charset val="238"/>
      <scheme val="minor"/>
    </font>
    <font>
      <b/>
      <sz val="11"/>
      <color theme="0"/>
      <name val="Calibri"/>
      <family val="2"/>
      <charset val="238"/>
      <scheme val="minor"/>
    </font>
    <font>
      <b/>
      <sz val="10"/>
      <name val="Calibri"/>
      <family val="2"/>
      <charset val="238"/>
      <scheme val="minor"/>
    </font>
    <font>
      <i/>
      <sz val="9"/>
      <name val="Calibri"/>
      <family val="2"/>
      <charset val="238"/>
      <scheme val="minor"/>
    </font>
    <font>
      <b/>
      <sz val="12"/>
      <name val="Calibri"/>
      <family val="2"/>
      <charset val="238"/>
      <scheme val="minor"/>
    </font>
    <font>
      <b/>
      <i/>
      <sz val="12"/>
      <name val="Calibri"/>
      <family val="2"/>
      <charset val="238"/>
      <scheme val="minor"/>
    </font>
    <font>
      <b/>
      <i/>
      <sz val="12"/>
      <color rgb="FFC00000"/>
      <name val="Calibri"/>
      <family val="2"/>
      <charset val="238"/>
      <scheme val="minor"/>
    </font>
    <font>
      <b/>
      <vertAlign val="superscript"/>
      <sz val="11"/>
      <color theme="1"/>
      <name val="Calibri"/>
      <family val="2"/>
      <charset val="238"/>
      <scheme val="minor"/>
    </font>
    <font>
      <b/>
      <vertAlign val="superscript"/>
      <sz val="11"/>
      <name val="Calibri"/>
      <family val="2"/>
      <charset val="238"/>
      <scheme val="minor"/>
    </font>
    <font>
      <b/>
      <sz val="11.5"/>
      <color theme="1"/>
      <name val="Calibri"/>
      <family val="2"/>
      <charset val="238"/>
      <scheme val="minor"/>
    </font>
    <font>
      <sz val="11.5"/>
      <color theme="1"/>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i/>
      <sz val="11.5"/>
      <color rgb="FFC00000"/>
      <name val="Calibri"/>
      <family val="2"/>
      <charset val="238"/>
      <scheme val="minor"/>
    </font>
    <font>
      <sz val="10"/>
      <color theme="0"/>
      <name val="Calibri"/>
      <family val="2"/>
      <charset val="238"/>
      <scheme val="minor"/>
    </font>
    <font>
      <b/>
      <sz val="13"/>
      <color theme="1"/>
      <name val="Calibri"/>
      <family val="2"/>
      <charset val="238"/>
      <scheme val="minor"/>
    </font>
    <font>
      <b/>
      <i/>
      <sz val="13"/>
      <color rgb="FFC00000"/>
      <name val="Calibri"/>
      <family val="2"/>
      <charset val="238"/>
      <scheme val="minor"/>
    </font>
    <font>
      <b/>
      <sz val="8.5"/>
      <color rgb="FFC00000"/>
      <name val="Calibri"/>
      <family val="2"/>
      <charset val="238"/>
      <scheme val="minor"/>
    </font>
    <font>
      <b/>
      <u/>
      <sz val="10"/>
      <color rgb="FFC00000"/>
      <name val="Calibri"/>
      <family val="2"/>
      <charset val="238"/>
      <scheme val="minor"/>
    </font>
    <font>
      <b/>
      <sz val="14"/>
      <color rgb="FFC00000"/>
      <name val="Calibri"/>
      <family val="2"/>
      <charset val="238"/>
      <scheme val="minor"/>
    </font>
    <font>
      <b/>
      <sz val="12.5"/>
      <color rgb="FFC00000"/>
      <name val="Calibri"/>
      <family val="2"/>
      <charset val="238"/>
      <scheme val="minor"/>
    </font>
    <font>
      <b/>
      <sz val="13"/>
      <color rgb="FF000000"/>
      <name val="Calibri"/>
      <family val="2"/>
      <charset val="238"/>
      <scheme val="minor"/>
    </font>
    <font>
      <b/>
      <sz val="9"/>
      <color theme="3"/>
      <name val="Calibri"/>
      <family val="2"/>
      <charset val="238"/>
      <scheme val="minor"/>
    </font>
    <font>
      <b/>
      <sz val="10"/>
      <color rgb="FFFF0000"/>
      <name val="Calibri"/>
      <family val="2"/>
      <charset val="238"/>
      <scheme val="minor"/>
    </font>
    <font>
      <i/>
      <sz val="10"/>
      <color rgb="FFFF0000"/>
      <name val="Calibri"/>
      <family val="2"/>
      <charset val="238"/>
      <scheme val="minor"/>
    </font>
  </fonts>
  <fills count="2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79998168889431442"/>
        <bgColor indexed="64"/>
      </patternFill>
    </fill>
    <fill>
      <patternFill patternType="solid">
        <fgColor rgb="FFFAD3BE"/>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theme="7"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B0F0"/>
      </right>
      <top style="thin">
        <color rgb="FF00B0F0"/>
      </top>
      <bottom style="thin">
        <color rgb="FF00B0F0"/>
      </bottom>
      <diagonal/>
    </border>
    <border>
      <left style="medium">
        <color indexed="64"/>
      </left>
      <right style="thin">
        <color rgb="FF00B0F0"/>
      </right>
      <top style="thin">
        <color rgb="FF00B0F0"/>
      </top>
      <bottom/>
      <diagonal/>
    </border>
    <border>
      <left style="thin">
        <color indexed="64"/>
      </left>
      <right style="medium">
        <color indexed="64"/>
      </right>
      <top style="thin">
        <color indexed="64"/>
      </top>
      <bottom/>
      <diagonal/>
    </border>
    <border>
      <left style="medium">
        <color indexed="64"/>
      </left>
      <right style="thin">
        <color rgb="FF00B0F0"/>
      </right>
      <top/>
      <bottom style="thin">
        <color rgb="FF00B0F0"/>
      </bottom>
      <diagonal/>
    </border>
    <border>
      <left style="thin">
        <color rgb="FF00B0F0"/>
      </left>
      <right style="medium">
        <color indexed="64"/>
      </right>
      <top/>
      <bottom style="thin">
        <color rgb="FF00B0F0"/>
      </bottom>
      <diagonal/>
    </border>
    <border>
      <left style="thin">
        <color rgb="FF00B0F0"/>
      </left>
      <right style="medium">
        <color indexed="64"/>
      </right>
      <top style="thin">
        <color rgb="FF00B0F0"/>
      </top>
      <bottom style="thin">
        <color rgb="FF00B0F0"/>
      </bottom>
      <diagonal/>
    </border>
    <border>
      <left style="thin">
        <color rgb="FF00B0F0"/>
      </left>
      <right style="medium">
        <color indexed="64"/>
      </right>
      <top style="thin">
        <color rgb="FF00B0F0"/>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bottom style="thin">
        <color indexed="64"/>
      </bottom>
      <diagonal/>
    </border>
    <border>
      <left style="medium">
        <color rgb="FFC00000"/>
      </left>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style="medium">
        <color rgb="FFC00000"/>
      </right>
      <top/>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top/>
      <bottom style="medium">
        <color rgb="FFC00000"/>
      </bottom>
      <diagonal/>
    </border>
    <border>
      <left style="medium">
        <color rgb="FFC00000"/>
      </left>
      <right/>
      <top style="medium">
        <color rgb="FFC00000"/>
      </top>
      <bottom/>
      <diagonal/>
    </border>
    <border>
      <left/>
      <right style="medium">
        <color indexed="64"/>
      </right>
      <top style="medium">
        <color rgb="FFC00000"/>
      </top>
      <bottom/>
      <diagonal/>
    </border>
    <border>
      <left style="medium">
        <color rgb="FFC00000"/>
      </left>
      <right/>
      <top/>
      <bottom style="medium">
        <color rgb="FFC00000"/>
      </bottom>
      <diagonal/>
    </border>
    <border>
      <left/>
      <right style="medium">
        <color indexed="64"/>
      </right>
      <top/>
      <bottom style="medium">
        <color rgb="FFC00000"/>
      </bottom>
      <diagonal/>
    </border>
    <border>
      <left style="thin">
        <color indexed="64"/>
      </left>
      <right/>
      <top/>
      <bottom style="medium">
        <color rgb="FFC00000"/>
      </bottom>
      <diagonal/>
    </border>
    <border>
      <left style="thin">
        <color indexed="64"/>
      </left>
      <right style="medium">
        <color indexed="64"/>
      </right>
      <top style="thin">
        <color indexed="64"/>
      </top>
      <bottom style="medium">
        <color indexed="64"/>
      </bottom>
      <diagonal/>
    </border>
    <border>
      <left style="medium">
        <color rgb="FFC00000"/>
      </left>
      <right/>
      <top/>
      <bottom style="medium">
        <color indexed="64"/>
      </bottom>
      <diagonal/>
    </border>
    <border>
      <left/>
      <right/>
      <top style="medium">
        <color indexed="64"/>
      </top>
      <bottom style="medium">
        <color rgb="FFC00000"/>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420">
    <xf numFmtId="0" fontId="0" fillId="0" borderId="0" xfId="0"/>
    <xf numFmtId="0" fontId="0" fillId="0" borderId="0" xfId="0" applyProtection="1">
      <protection hidden="1"/>
    </xf>
    <xf numFmtId="0" fontId="6" fillId="2" borderId="0" xfId="0" applyFont="1" applyFill="1" applyAlignment="1" applyProtection="1">
      <alignment horizontal="center" vertical="center" wrapText="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10" fontId="14" fillId="3" borderId="4" xfId="1" applyNumberFormat="1" applyFont="1" applyFill="1" applyBorder="1" applyAlignment="1" applyProtection="1">
      <alignment horizontal="right" vertical="center"/>
      <protection hidden="1"/>
    </xf>
    <xf numFmtId="9" fontId="3" fillId="6" borderId="24" xfId="1" applyFont="1" applyFill="1" applyBorder="1" applyAlignment="1" applyProtection="1">
      <alignment horizontal="center" vertical="center" wrapText="1"/>
      <protection hidden="1"/>
    </xf>
    <xf numFmtId="0" fontId="21" fillId="2"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10" fontId="1" fillId="3" borderId="4" xfId="1" applyNumberFormat="1" applyFont="1" applyFill="1" applyBorder="1" applyAlignment="1" applyProtection="1">
      <alignment horizontal="right" vertical="center"/>
      <protection hidden="1"/>
    </xf>
    <xf numFmtId="0" fontId="0" fillId="2" borderId="0" xfId="0" applyFill="1" applyProtection="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11" xfId="1" applyNumberFormat="1" applyFont="1" applyFill="1" applyBorder="1" applyAlignment="1" applyProtection="1">
      <alignment vertical="center"/>
      <protection hidden="1"/>
    </xf>
    <xf numFmtId="10" fontId="1" fillId="3" borderId="4" xfId="1" applyNumberFormat="1" applyFont="1" applyFill="1" applyBorder="1" applyAlignment="1" applyProtection="1">
      <alignment vertical="center"/>
      <protection hidden="1"/>
    </xf>
    <xf numFmtId="165" fontId="3" fillId="5" borderId="28" xfId="0" applyNumberFormat="1" applyFont="1" applyFill="1" applyBorder="1" applyAlignment="1" applyProtection="1">
      <alignment horizontal="center" vertical="center" wrapText="1"/>
      <protection hidden="1"/>
    </xf>
    <xf numFmtId="0" fontId="3" fillId="3" borderId="24" xfId="0" applyFont="1" applyFill="1" applyBorder="1" applyAlignment="1" applyProtection="1">
      <alignment horizontal="center" vertical="center"/>
      <protection hidden="1"/>
    </xf>
    <xf numFmtId="10" fontId="1" fillId="3" borderId="15" xfId="1" applyNumberFormat="1" applyFont="1" applyFill="1" applyBorder="1" applyAlignment="1" applyProtection="1">
      <alignment vertical="center"/>
      <protection hidden="1"/>
    </xf>
    <xf numFmtId="0" fontId="26" fillId="0" borderId="0" xfId="0" applyFont="1" applyAlignment="1" applyProtection="1">
      <alignment horizontal="left" vertical="center" wrapText="1"/>
      <protection hidden="1"/>
    </xf>
    <xf numFmtId="10" fontId="27" fillId="2" borderId="4" xfId="0" applyNumberFormat="1" applyFont="1" applyFill="1" applyBorder="1" applyAlignment="1" applyProtection="1">
      <alignment horizontal="right" vertical="center"/>
      <protection locked="0"/>
    </xf>
    <xf numFmtId="0" fontId="27" fillId="0" borderId="0" xfId="0" applyFont="1" applyAlignment="1" applyProtection="1">
      <alignment horizontal="center" vertical="center"/>
      <protection hidden="1"/>
    </xf>
    <xf numFmtId="10" fontId="27"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165" fontId="1" fillId="2" borderId="0" xfId="0" applyNumberFormat="1" applyFont="1" applyFill="1" applyAlignment="1" applyProtection="1">
      <alignment vertical="center"/>
      <protection hidden="1"/>
    </xf>
    <xf numFmtId="10" fontId="0" fillId="2" borderId="0" xfId="1" applyNumberFormat="1" applyFont="1" applyFill="1" applyBorder="1" applyAlignment="1" applyProtection="1">
      <alignment vertical="center"/>
      <protection hidden="1"/>
    </xf>
    <xf numFmtId="0" fontId="2" fillId="0" borderId="0" xfId="0" applyFont="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14" fontId="0" fillId="0" borderId="43" xfId="0" applyNumberFormat="1" applyBorder="1" applyAlignment="1" applyProtection="1">
      <alignment horizontal="center" vertical="center"/>
      <protection hidden="1"/>
    </xf>
    <xf numFmtId="14" fontId="0" fillId="0" borderId="44" xfId="0" applyNumberFormat="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14" fontId="0" fillId="0" borderId="40" xfId="0" applyNumberFormat="1" applyBorder="1" applyAlignment="1" applyProtection="1">
      <alignment horizontal="center" vertical="center"/>
      <protection hidden="1"/>
    </xf>
    <xf numFmtId="14" fontId="0" fillId="0" borderId="45" xfId="0" applyNumberFormat="1" applyBorder="1" applyAlignment="1" applyProtection="1">
      <alignment horizontal="center" vertical="center"/>
      <protection hidden="1"/>
    </xf>
    <xf numFmtId="0" fontId="3" fillId="10" borderId="23" xfId="0" applyFont="1" applyFill="1" applyBorder="1" applyAlignment="1" applyProtection="1">
      <alignment vertical="center" wrapText="1"/>
      <protection hidden="1"/>
    </xf>
    <xf numFmtId="0" fontId="3" fillId="10" borderId="48" xfId="0" applyFont="1" applyFill="1" applyBorder="1" applyAlignment="1" applyProtection="1">
      <alignment horizontal="center" vertical="center"/>
      <protection hidden="1"/>
    </xf>
    <xf numFmtId="0" fontId="3" fillId="10" borderId="38" xfId="0" applyFont="1" applyFill="1" applyBorder="1" applyAlignment="1" applyProtection="1">
      <alignment horizontal="center" vertical="center"/>
      <protection hidden="1"/>
    </xf>
    <xf numFmtId="0" fontId="2" fillId="10" borderId="36"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14" fontId="0" fillId="0" borderId="41" xfId="0" applyNumberFormat="1" applyBorder="1" applyAlignment="1" applyProtection="1">
      <alignment horizontal="center" vertical="center"/>
      <protection hidden="1"/>
    </xf>
    <xf numFmtId="14" fontId="0" fillId="0" borderId="46" xfId="0" applyNumberFormat="1" applyBorder="1" applyAlignment="1" applyProtection="1">
      <alignment horizontal="center" vertical="center"/>
      <protection hidden="1"/>
    </xf>
    <xf numFmtId="0" fontId="0" fillId="7" borderId="39"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2"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3" fillId="2" borderId="0" xfId="0" applyFont="1" applyFill="1" applyProtection="1">
      <protection hidden="1"/>
    </xf>
    <xf numFmtId="0" fontId="6" fillId="2" borderId="0" xfId="0" applyFont="1" applyFill="1" applyAlignment="1" applyProtection="1">
      <alignment horizontal="center" vertical="center"/>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4"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34" xfId="0" applyFont="1" applyFill="1" applyBorder="1" applyAlignment="1" applyProtection="1">
      <alignment horizontal="center" vertical="center"/>
      <protection hidden="1"/>
    </xf>
    <xf numFmtId="0" fontId="2" fillId="10" borderId="8"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7"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0" fontId="20" fillId="2" borderId="0" xfId="0" applyFont="1" applyFill="1" applyAlignment="1" applyProtection="1">
      <alignment horizontal="left" vertical="center"/>
      <protection hidden="1"/>
    </xf>
    <xf numFmtId="165" fontId="14" fillId="2" borderId="0" xfId="0" applyNumberFormat="1" applyFont="1" applyFill="1" applyAlignment="1" applyProtection="1">
      <alignment horizontal="right" vertical="center"/>
      <protection hidden="1"/>
    </xf>
    <xf numFmtId="0" fontId="1" fillId="0" borderId="0" xfId="0" applyFont="1" applyAlignment="1" applyProtection="1">
      <alignment horizontal="center" vertical="center" wrapText="1"/>
      <protection hidden="1"/>
    </xf>
    <xf numFmtId="165" fontId="0" fillId="0" borderId="0" xfId="0" applyNumberFormat="1" applyAlignment="1" applyProtection="1">
      <alignment horizontal="right" vertical="center" wrapText="1"/>
      <protection hidden="1"/>
    </xf>
    <xf numFmtId="2" fontId="0" fillId="2" borderId="0" xfId="1" applyNumberFormat="1" applyFont="1" applyFill="1" applyBorder="1" applyProtection="1">
      <protection hidden="1"/>
    </xf>
    <xf numFmtId="166" fontId="1" fillId="4" borderId="52" xfId="1" applyNumberFormat="1" applyFont="1" applyFill="1" applyBorder="1" applyProtection="1">
      <protection hidden="1"/>
    </xf>
    <xf numFmtId="166" fontId="1" fillId="4" borderId="53" xfId="1" applyNumberFormat="1" applyFont="1" applyFill="1" applyBorder="1" applyProtection="1">
      <protection hidden="1"/>
    </xf>
    <xf numFmtId="166" fontId="1" fillId="4" borderId="54" xfId="1" applyNumberFormat="1" applyFont="1" applyFill="1" applyBorder="1" applyProtection="1">
      <protection hidden="1"/>
    </xf>
    <xf numFmtId="10" fontId="1" fillId="15" borderId="4" xfId="1" applyNumberFormat="1" applyFont="1" applyFill="1" applyBorder="1" applyAlignment="1" applyProtection="1">
      <alignment vertical="center"/>
      <protection hidden="1"/>
    </xf>
    <xf numFmtId="0" fontId="1" fillId="3" borderId="59"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protection hidden="1"/>
    </xf>
    <xf numFmtId="0" fontId="1" fillId="3" borderId="62" xfId="0" applyFont="1" applyFill="1" applyBorder="1" applyAlignment="1" applyProtection="1">
      <alignment horizontal="center" vertical="center"/>
      <protection hidden="1"/>
    </xf>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34" fillId="0" borderId="0" xfId="0" applyFont="1" applyAlignment="1" applyProtection="1">
      <alignment horizontal="right" vertical="center"/>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0" fontId="1" fillId="15" borderId="4" xfId="0" applyFont="1" applyFill="1" applyBorder="1" applyAlignment="1" applyProtection="1">
      <alignment horizontal="center" vertical="center"/>
      <protection hidden="1"/>
    </xf>
    <xf numFmtId="0" fontId="1" fillId="15" borderId="14" xfId="0" applyFont="1" applyFill="1" applyBorder="1" applyAlignment="1" applyProtection="1">
      <alignment horizontal="center" vertical="center"/>
      <protection hidden="1"/>
    </xf>
    <xf numFmtId="165" fontId="34" fillId="0" borderId="0" xfId="0" applyNumberFormat="1" applyFont="1" applyProtection="1">
      <protection hidden="1"/>
    </xf>
    <xf numFmtId="0" fontId="0" fillId="0" borderId="0" xfId="0" applyAlignment="1" applyProtection="1">
      <alignment horizontal="center" vertical="center"/>
      <protection hidden="1"/>
    </xf>
    <xf numFmtId="0" fontId="2" fillId="2" borderId="0" xfId="0" applyFont="1" applyFill="1" applyAlignment="1" applyProtection="1">
      <alignment horizontal="left"/>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wrapText="1"/>
      <protection hidden="1"/>
    </xf>
    <xf numFmtId="0" fontId="5" fillId="2" borderId="0" xfId="0" applyFont="1" applyFill="1" applyAlignment="1" applyProtection="1">
      <alignment horizontal="center"/>
      <protection hidden="1"/>
    </xf>
    <xf numFmtId="0" fontId="0" fillId="0" borderId="0" xfId="0" applyAlignment="1" applyProtection="1">
      <alignment horizontal="left" vertical="center"/>
      <protection hidden="1"/>
    </xf>
    <xf numFmtId="0" fontId="3" fillId="2" borderId="0" xfId="0" applyFont="1" applyFill="1" applyAlignment="1" applyProtection="1">
      <alignment horizontal="left" vertical="center" wrapText="1"/>
      <protection hidden="1"/>
    </xf>
    <xf numFmtId="0" fontId="12" fillId="0" borderId="0" xfId="0" applyFont="1" applyProtection="1">
      <protection hidden="1"/>
    </xf>
    <xf numFmtId="0" fontId="21" fillId="0" borderId="0" xfId="0" applyFont="1" applyProtection="1">
      <protection hidden="1"/>
    </xf>
    <xf numFmtId="165" fontId="14" fillId="17" borderId="4" xfId="0" applyNumberFormat="1" applyFont="1" applyFill="1" applyBorder="1" applyAlignment="1" applyProtection="1">
      <alignment horizontal="right" vertical="center"/>
      <protection hidden="1"/>
    </xf>
    <xf numFmtId="14" fontId="37" fillId="0" borderId="0" xfId="0" applyNumberFormat="1" applyFont="1" applyAlignment="1" applyProtection="1">
      <alignment horizontal="center" vertical="center"/>
      <protection hidden="1"/>
    </xf>
    <xf numFmtId="0" fontId="24" fillId="0" borderId="0" xfId="0" applyFont="1" applyProtection="1">
      <protection hidden="1"/>
    </xf>
    <xf numFmtId="9" fontId="21" fillId="0" borderId="0" xfId="0" applyNumberFormat="1" applyFont="1" applyProtection="1">
      <protection hidden="1"/>
    </xf>
    <xf numFmtId="165" fontId="21" fillId="0" borderId="0" xfId="0" applyNumberFormat="1" applyFont="1" applyProtection="1">
      <protection hidden="1"/>
    </xf>
    <xf numFmtId="0" fontId="21" fillId="0" borderId="0" xfId="0" applyFont="1"/>
    <xf numFmtId="0" fontId="24" fillId="0" borderId="0" xfId="0" applyFont="1"/>
    <xf numFmtId="0" fontId="21" fillId="0" borderId="0" xfId="0" applyFont="1" applyAlignment="1">
      <alignment horizontal="center"/>
    </xf>
    <xf numFmtId="0" fontId="24" fillId="0" borderId="0" xfId="0" applyFont="1" applyAlignment="1">
      <alignment horizontal="center" vertical="center"/>
    </xf>
    <xf numFmtId="0" fontId="23" fillId="2" borderId="30" xfId="0" applyFont="1" applyFill="1" applyBorder="1" applyAlignment="1" applyProtection="1">
      <alignment horizontal="center" vertical="top"/>
      <protection hidden="1"/>
    </xf>
    <xf numFmtId="0" fontId="0" fillId="2" borderId="0" xfId="0" applyFill="1" applyAlignment="1" applyProtection="1">
      <alignment horizontal="left"/>
      <protection hidden="1"/>
    </xf>
    <xf numFmtId="0" fontId="10" fillId="0" borderId="0" xfId="0" applyFont="1" applyAlignment="1" applyProtection="1">
      <alignment vertical="center"/>
      <protection hidden="1"/>
    </xf>
    <xf numFmtId="0" fontId="10" fillId="2" borderId="0" xfId="0" applyFont="1" applyFill="1" applyAlignment="1" applyProtection="1">
      <alignment vertical="center" wrapText="1"/>
      <protection hidden="1"/>
    </xf>
    <xf numFmtId="0" fontId="18" fillId="2" borderId="0" xfId="0" applyFont="1" applyFill="1" applyAlignment="1" applyProtection="1">
      <alignment horizontal="left" vertical="justify" wrapText="1"/>
      <protection hidden="1"/>
    </xf>
    <xf numFmtId="0" fontId="23" fillId="2" borderId="0" xfId="0" applyFont="1" applyFill="1" applyAlignment="1" applyProtection="1">
      <alignment horizontal="center" vertical="top"/>
      <protection hidden="1"/>
    </xf>
    <xf numFmtId="0" fontId="36"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10" fontId="1" fillId="3" borderId="23" xfId="1" applyNumberFormat="1" applyFont="1" applyFill="1" applyBorder="1" applyAlignment="1" applyProtection="1">
      <alignment horizontal="right" vertical="center"/>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3" fillId="5" borderId="0" xfId="0" applyFont="1" applyFill="1" applyAlignment="1" applyProtection="1">
      <alignment horizontal="left" vertical="center" wrapText="1"/>
      <protection hidden="1"/>
    </xf>
    <xf numFmtId="0" fontId="4" fillId="0" borderId="0" xfId="0" applyFont="1" applyAlignment="1" applyProtection="1">
      <alignment vertical="center"/>
      <protection hidden="1"/>
    </xf>
    <xf numFmtId="0" fontId="3" fillId="4" borderId="72" xfId="0" applyFont="1" applyFill="1" applyBorder="1" applyAlignment="1" applyProtection="1">
      <alignment horizontal="center" vertical="center"/>
      <protection hidden="1"/>
    </xf>
    <xf numFmtId="0" fontId="1" fillId="3" borderId="73" xfId="0" applyFont="1" applyFill="1" applyBorder="1" applyAlignment="1" applyProtection="1">
      <alignment horizontal="center" vertical="center"/>
      <protection hidden="1"/>
    </xf>
    <xf numFmtId="0" fontId="3" fillId="3" borderId="74" xfId="0" applyFont="1" applyFill="1" applyBorder="1" applyAlignment="1" applyProtection="1">
      <alignment horizontal="center" vertical="center"/>
      <protection hidden="1"/>
    </xf>
    <xf numFmtId="0" fontId="3" fillId="3" borderId="66" xfId="0" applyFont="1" applyFill="1" applyBorder="1" applyAlignment="1" applyProtection="1">
      <alignment horizontal="center" vertical="center"/>
      <protection hidden="1"/>
    </xf>
    <xf numFmtId="0" fontId="5" fillId="4" borderId="69" xfId="0" applyFont="1" applyFill="1" applyBorder="1" applyAlignment="1" applyProtection="1">
      <alignment horizontal="center" vertical="center"/>
      <protection hidden="1"/>
    </xf>
    <xf numFmtId="0" fontId="3" fillId="0" borderId="55" xfId="0" applyFont="1" applyBorder="1" applyAlignment="1" applyProtection="1">
      <alignment horizontal="center" vertical="center"/>
      <protection locked="0"/>
    </xf>
    <xf numFmtId="0" fontId="1" fillId="3" borderId="83" xfId="0" applyFont="1" applyFill="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167" fontId="32" fillId="2" borderId="11" xfId="0" applyNumberFormat="1" applyFont="1" applyFill="1" applyBorder="1" applyAlignment="1" applyProtection="1">
      <alignment horizontal="center" vertical="center"/>
      <protection locked="0"/>
    </xf>
    <xf numFmtId="167" fontId="5" fillId="0" borderId="77" xfId="0" applyNumberFormat="1" applyFont="1" applyBorder="1" applyAlignment="1" applyProtection="1">
      <alignment horizontal="center" vertical="center"/>
      <protection locked="0"/>
    </xf>
    <xf numFmtId="167" fontId="3" fillId="3" borderId="78" xfId="0" applyNumberFormat="1" applyFont="1" applyFill="1" applyBorder="1" applyAlignment="1" applyProtection="1">
      <alignment horizontal="center" vertical="center"/>
      <protection hidden="1"/>
    </xf>
    <xf numFmtId="165" fontId="1" fillId="0" borderId="47" xfId="0" applyNumberFormat="1" applyFont="1" applyBorder="1" applyAlignment="1" applyProtection="1">
      <alignment vertical="center"/>
      <protection locked="0"/>
    </xf>
    <xf numFmtId="165" fontId="3" fillId="20" borderId="28" xfId="0" applyNumberFormat="1" applyFont="1" applyFill="1" applyBorder="1" applyAlignment="1" applyProtection="1">
      <alignment horizontal="center" vertical="center" wrapText="1"/>
      <protection hidden="1"/>
    </xf>
    <xf numFmtId="10" fontId="3" fillId="3" borderId="49" xfId="1" applyNumberFormat="1" applyFont="1" applyFill="1" applyBorder="1" applyAlignment="1" applyProtection="1">
      <alignment horizontal="center" vertical="center" wrapText="1"/>
      <protection hidden="1"/>
    </xf>
    <xf numFmtId="10" fontId="0" fillId="3" borderId="55" xfId="1" applyNumberFormat="1" applyFont="1" applyFill="1" applyBorder="1" applyAlignment="1" applyProtection="1">
      <alignment horizontal="right" vertical="center" indent="1"/>
      <protection hidden="1"/>
    </xf>
    <xf numFmtId="10" fontId="0" fillId="3" borderId="64" xfId="1" applyNumberFormat="1" applyFont="1" applyFill="1" applyBorder="1" applyAlignment="1" applyProtection="1">
      <alignment horizontal="right" vertical="center" indent="1"/>
      <protection hidden="1"/>
    </xf>
    <xf numFmtId="10" fontId="0" fillId="3" borderId="57" xfId="1" applyNumberFormat="1" applyFont="1" applyFill="1" applyBorder="1" applyAlignment="1" applyProtection="1">
      <alignment horizontal="right" vertical="center" indent="1"/>
      <protection hidden="1"/>
    </xf>
    <xf numFmtId="10" fontId="0" fillId="3" borderId="56" xfId="1" applyNumberFormat="1" applyFont="1" applyFill="1" applyBorder="1" applyAlignment="1" applyProtection="1">
      <alignment horizontal="right" vertical="center" indent="1"/>
      <protection hidden="1"/>
    </xf>
    <xf numFmtId="10" fontId="1" fillId="3" borderId="9" xfId="1" applyNumberFormat="1" applyFont="1" applyFill="1" applyBorder="1" applyAlignment="1" applyProtection="1">
      <alignment horizontal="right" vertical="center" indent="1"/>
      <protection hidden="1"/>
    </xf>
    <xf numFmtId="10" fontId="1" fillId="3" borderId="25" xfId="1" applyNumberFormat="1" applyFont="1" applyFill="1" applyBorder="1" applyAlignment="1" applyProtection="1">
      <alignment horizontal="right" vertical="center" indent="1"/>
      <protection hidden="1"/>
    </xf>
    <xf numFmtId="168" fontId="1" fillId="20" borderId="9" xfId="0" applyNumberFormat="1" applyFont="1" applyFill="1" applyBorder="1" applyAlignment="1" applyProtection="1">
      <alignment horizontal="right" vertical="center" wrapText="1" indent="1"/>
      <protection hidden="1"/>
    </xf>
    <xf numFmtId="165" fontId="1" fillId="20" borderId="9" xfId="0" applyNumberFormat="1" applyFont="1" applyFill="1" applyBorder="1" applyAlignment="1" applyProtection="1">
      <alignment horizontal="right" vertical="center" wrapText="1" indent="1"/>
      <protection hidden="1"/>
    </xf>
    <xf numFmtId="165" fontId="1" fillId="20" borderId="25" xfId="0" applyNumberFormat="1" applyFont="1" applyFill="1" applyBorder="1" applyAlignment="1" applyProtection="1">
      <alignment horizontal="right" vertical="center" wrapText="1" indent="1"/>
      <protection hidden="1"/>
    </xf>
    <xf numFmtId="165" fontId="18" fillId="20" borderId="23" xfId="0" applyNumberFormat="1" applyFont="1" applyFill="1" applyBorder="1" applyAlignment="1" applyProtection="1">
      <alignment horizontal="right" vertical="center" wrapText="1" indent="1"/>
      <protection hidden="1"/>
    </xf>
    <xf numFmtId="165" fontId="18" fillId="20" borderId="10" xfId="0" applyNumberFormat="1" applyFont="1" applyFill="1" applyBorder="1" applyAlignment="1" applyProtection="1">
      <alignment horizontal="right" indent="1"/>
      <protection hidden="1"/>
    </xf>
    <xf numFmtId="10" fontId="42" fillId="13" borderId="4" xfId="0" applyNumberFormat="1" applyFont="1" applyFill="1" applyBorder="1" applyAlignment="1" applyProtection="1">
      <alignment horizontal="right" vertical="center" indent="1"/>
      <protection hidden="1"/>
    </xf>
    <xf numFmtId="14" fontId="18" fillId="20" borderId="63" xfId="0" applyNumberFormat="1" applyFont="1" applyFill="1" applyBorder="1" applyAlignment="1" applyProtection="1">
      <alignment horizontal="center"/>
      <protection hidden="1"/>
    </xf>
    <xf numFmtId="14" fontId="18" fillId="20" borderId="61" xfId="0" applyNumberFormat="1" applyFont="1" applyFill="1" applyBorder="1" applyAlignment="1" applyProtection="1">
      <alignment horizontal="center"/>
      <protection hidden="1"/>
    </xf>
    <xf numFmtId="14" fontId="18" fillId="20" borderId="37" xfId="0" applyNumberFormat="1" applyFont="1" applyFill="1" applyBorder="1" applyAlignment="1" applyProtection="1">
      <alignment horizontal="center"/>
      <protection hidden="1"/>
    </xf>
    <xf numFmtId="165" fontId="18" fillId="20" borderId="23" xfId="0" applyNumberFormat="1" applyFont="1" applyFill="1" applyBorder="1" applyAlignment="1" applyProtection="1">
      <alignment horizontal="right" indent="1"/>
      <protection hidden="1"/>
    </xf>
    <xf numFmtId="165" fontId="18" fillId="20" borderId="9" xfId="0" applyNumberFormat="1" applyFont="1" applyFill="1" applyBorder="1" applyAlignment="1" applyProtection="1">
      <alignment horizontal="right" indent="1"/>
      <protection hidden="1"/>
    </xf>
    <xf numFmtId="10" fontId="18" fillId="4" borderId="52" xfId="0" applyNumberFormat="1" applyFont="1" applyFill="1" applyBorder="1" applyAlignment="1" applyProtection="1">
      <alignment vertical="center" wrapText="1"/>
      <protection hidden="1"/>
    </xf>
    <xf numFmtId="10" fontId="18" fillId="4" borderId="53" xfId="0" applyNumberFormat="1" applyFont="1" applyFill="1" applyBorder="1" applyAlignment="1" applyProtection="1">
      <alignment vertical="center" wrapText="1"/>
      <protection hidden="1"/>
    </xf>
    <xf numFmtId="10" fontId="18" fillId="4" borderId="54" xfId="0" applyNumberFormat="1" applyFont="1" applyFill="1" applyBorder="1" applyAlignment="1" applyProtection="1">
      <alignment vertical="center" wrapText="1"/>
      <protection hidden="1"/>
    </xf>
    <xf numFmtId="165" fontId="18" fillId="20" borderId="25" xfId="0" applyNumberFormat="1" applyFont="1" applyFill="1" applyBorder="1" applyAlignment="1" applyProtection="1">
      <alignment horizontal="right" indent="1"/>
      <protection hidden="1"/>
    </xf>
    <xf numFmtId="0" fontId="1" fillId="14" borderId="32" xfId="0" applyFont="1" applyFill="1" applyBorder="1" applyAlignment="1" applyProtection="1">
      <alignment horizontal="center" vertical="center"/>
      <protection hidden="1"/>
    </xf>
    <xf numFmtId="0" fontId="1" fillId="14" borderId="24" xfId="0" applyFont="1" applyFill="1" applyBorder="1" applyAlignment="1" applyProtection="1">
      <alignment horizontal="center" vertical="center"/>
      <protection hidden="1"/>
    </xf>
    <xf numFmtId="0" fontId="1" fillId="3" borderId="23" xfId="0" applyFont="1" applyFill="1" applyBorder="1" applyAlignment="1" applyProtection="1">
      <alignment horizontal="center" vertical="center"/>
      <protection hidden="1"/>
    </xf>
    <xf numFmtId="0" fontId="1" fillId="3" borderId="9" xfId="0" applyFont="1" applyFill="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165" fontId="18" fillId="20" borderId="63" xfId="0" applyNumberFormat="1" applyFont="1" applyFill="1" applyBorder="1" applyAlignment="1" applyProtection="1">
      <alignment horizontal="right" vertical="center" wrapText="1" indent="1"/>
      <protection hidden="1"/>
    </xf>
    <xf numFmtId="165" fontId="18" fillId="20" borderId="61" xfId="0" applyNumberFormat="1" applyFont="1" applyFill="1" applyBorder="1" applyAlignment="1" applyProtection="1">
      <alignment horizontal="right" vertical="center" wrapText="1" indent="1"/>
      <protection hidden="1"/>
    </xf>
    <xf numFmtId="165" fontId="18" fillId="20" borderId="37" xfId="0" applyNumberFormat="1" applyFont="1" applyFill="1" applyBorder="1" applyAlignment="1" applyProtection="1">
      <alignment horizontal="right" vertical="center" wrapText="1" indent="1"/>
      <protection hidden="1"/>
    </xf>
    <xf numFmtId="10" fontId="1" fillId="3" borderId="52" xfId="1" applyNumberFormat="1" applyFont="1" applyFill="1" applyBorder="1" applyAlignment="1" applyProtection="1">
      <alignment horizontal="right" vertical="center" indent="1"/>
      <protection hidden="1"/>
    </xf>
    <xf numFmtId="10" fontId="1" fillId="3" borderId="53" xfId="1" applyNumberFormat="1" applyFont="1" applyFill="1" applyBorder="1" applyAlignment="1" applyProtection="1">
      <alignment horizontal="right" vertical="center" indent="1"/>
      <protection hidden="1"/>
    </xf>
    <xf numFmtId="10" fontId="1" fillId="3" borderId="60" xfId="1" applyNumberFormat="1" applyFont="1" applyFill="1" applyBorder="1" applyAlignment="1" applyProtection="1">
      <alignment horizontal="right" vertical="center" indent="1"/>
      <protection hidden="1"/>
    </xf>
    <xf numFmtId="10" fontId="0" fillId="3" borderId="23" xfId="1" applyNumberFormat="1" applyFont="1" applyFill="1" applyBorder="1" applyAlignment="1" applyProtection="1">
      <alignment horizontal="right" vertical="center" indent="1"/>
      <protection hidden="1"/>
    </xf>
    <xf numFmtId="10" fontId="0" fillId="3" borderId="9" xfId="1" applyNumberFormat="1" applyFont="1" applyFill="1" applyBorder="1" applyAlignment="1" applyProtection="1">
      <alignment horizontal="right" vertical="center" indent="1"/>
      <protection hidden="1"/>
    </xf>
    <xf numFmtId="10" fontId="0" fillId="3" borderId="10" xfId="1" applyNumberFormat="1" applyFont="1" applyFill="1" applyBorder="1" applyAlignment="1" applyProtection="1">
      <alignment horizontal="right" vertical="center" indent="1"/>
      <protection hidden="1"/>
    </xf>
    <xf numFmtId="0" fontId="5" fillId="4" borderId="5"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167" fontId="5" fillId="0" borderId="33" xfId="0" applyNumberFormat="1"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167" fontId="3" fillId="3" borderId="31" xfId="0" applyNumberFormat="1" applyFont="1" applyFill="1" applyBorder="1" applyAlignment="1" applyProtection="1">
      <alignment horizontal="center" vertical="center"/>
      <protection hidden="1"/>
    </xf>
    <xf numFmtId="0" fontId="1" fillId="3" borderId="84" xfId="0" applyFont="1" applyFill="1" applyBorder="1" applyAlignment="1" applyProtection="1">
      <alignment horizontal="center" vertical="center"/>
      <protection hidden="1"/>
    </xf>
    <xf numFmtId="0" fontId="0" fillId="0" borderId="4" xfId="0" applyBorder="1" applyProtection="1">
      <protection hidden="1"/>
    </xf>
    <xf numFmtId="165" fontId="0" fillId="2" borderId="25" xfId="0" applyNumberFormat="1" applyFill="1" applyBorder="1" applyAlignment="1" applyProtection="1">
      <alignment horizontal="right" vertical="center"/>
      <protection locked="0"/>
    </xf>
    <xf numFmtId="165" fontId="0" fillId="2" borderId="1" xfId="0" applyNumberFormat="1" applyFill="1" applyBorder="1" applyAlignment="1" applyProtection="1">
      <alignment horizontal="right" vertical="center"/>
      <protection locked="0"/>
    </xf>
    <xf numFmtId="165" fontId="0" fillId="2" borderId="10" xfId="0" applyNumberFormat="1" applyFill="1" applyBorder="1" applyAlignment="1" applyProtection="1">
      <alignment horizontal="right" vertical="center"/>
      <protection locked="0"/>
    </xf>
    <xf numFmtId="165" fontId="0" fillId="2" borderId="38" xfId="0" applyNumberFormat="1" applyFill="1" applyBorder="1" applyAlignment="1" applyProtection="1">
      <alignment horizontal="right" vertical="center"/>
      <protection locked="0"/>
    </xf>
    <xf numFmtId="165" fontId="0" fillId="2" borderId="29" xfId="0" applyNumberFormat="1" applyFill="1" applyBorder="1" applyAlignment="1" applyProtection="1">
      <alignment horizontal="right" vertical="center"/>
      <protection locked="0"/>
    </xf>
    <xf numFmtId="165" fontId="0" fillId="2" borderId="15" xfId="0" applyNumberFormat="1" applyFill="1" applyBorder="1" applyAlignment="1" applyProtection="1">
      <alignment horizontal="right" vertical="center"/>
      <protection locked="0"/>
    </xf>
    <xf numFmtId="168" fontId="1" fillId="20" borderId="15" xfId="0" applyNumberFormat="1" applyFont="1" applyFill="1" applyBorder="1" applyAlignment="1" applyProtection="1">
      <alignment horizontal="right" vertical="center" wrapText="1" indent="1"/>
      <protection hidden="1"/>
    </xf>
    <xf numFmtId="10" fontId="1" fillId="3" borderId="15" xfId="1" applyNumberFormat="1" applyFont="1" applyFill="1" applyBorder="1" applyAlignment="1" applyProtection="1">
      <alignment horizontal="right" vertical="center" indent="1"/>
      <protection hidden="1"/>
    </xf>
    <xf numFmtId="1" fontId="45" fillId="3" borderId="4" xfId="0" applyNumberFormat="1" applyFont="1" applyFill="1" applyBorder="1" applyAlignment="1" applyProtection="1">
      <alignment horizontal="center" vertical="center"/>
      <protection hidden="1"/>
    </xf>
    <xf numFmtId="1" fontId="45" fillId="5" borderId="14" xfId="0" applyNumberFormat="1" applyFont="1" applyFill="1" applyBorder="1" applyAlignment="1" applyProtection="1">
      <alignment horizontal="center" vertical="center" wrapText="1"/>
      <protection hidden="1"/>
    </xf>
    <xf numFmtId="1" fontId="45" fillId="20" borderId="20" xfId="0" applyNumberFormat="1" applyFont="1" applyFill="1" applyBorder="1" applyAlignment="1" applyProtection="1">
      <alignment horizontal="center" vertical="center" wrapText="1"/>
      <protection hidden="1"/>
    </xf>
    <xf numFmtId="1" fontId="45" fillId="3" borderId="4" xfId="1" applyNumberFormat="1" applyFont="1" applyFill="1" applyBorder="1" applyAlignment="1" applyProtection="1">
      <alignment horizontal="center" vertical="center" wrapText="1"/>
      <protection hidden="1"/>
    </xf>
    <xf numFmtId="10" fontId="14" fillId="16" borderId="11" xfId="1" applyNumberFormat="1" applyFont="1" applyFill="1" applyBorder="1" applyAlignment="1" applyProtection="1">
      <alignment horizontal="right" vertical="center" indent="1"/>
      <protection hidden="1"/>
    </xf>
    <xf numFmtId="165" fontId="32" fillId="22" borderId="4" xfId="0" applyNumberFormat="1" applyFont="1" applyFill="1" applyBorder="1" applyAlignment="1" applyProtection="1">
      <alignment horizontal="right" vertical="center"/>
      <protection hidden="1"/>
    </xf>
    <xf numFmtId="165" fontId="14" fillId="22" borderId="4" xfId="0" applyNumberFormat="1" applyFont="1" applyFill="1" applyBorder="1" applyAlignment="1" applyProtection="1">
      <alignment horizontal="right" vertical="center"/>
      <protection hidden="1"/>
    </xf>
    <xf numFmtId="10" fontId="3" fillId="3" borderId="11" xfId="1" applyNumberFormat="1" applyFont="1" applyFill="1" applyBorder="1" applyAlignment="1" applyProtection="1">
      <alignment horizontal="center" vertical="center"/>
      <protection hidden="1"/>
    </xf>
    <xf numFmtId="10" fontId="46" fillId="3" borderId="15" xfId="1" applyNumberFormat="1" applyFont="1" applyFill="1" applyBorder="1" applyAlignment="1" applyProtection="1">
      <alignment horizontal="center" vertical="center" wrapText="1"/>
      <protection hidden="1"/>
    </xf>
    <xf numFmtId="10" fontId="14" fillId="3" borderId="11" xfId="1" applyNumberFormat="1" applyFont="1" applyFill="1" applyBorder="1" applyAlignment="1" applyProtection="1">
      <alignment horizontal="center" vertical="center"/>
      <protection hidden="1"/>
    </xf>
    <xf numFmtId="0" fontId="0" fillId="7" borderId="18" xfId="0" applyFill="1" applyBorder="1" applyAlignment="1" applyProtection="1">
      <alignment vertical="center"/>
      <protection hidden="1"/>
    </xf>
    <xf numFmtId="0" fontId="0" fillId="7" borderId="3" xfId="0" applyFill="1" applyBorder="1" applyAlignment="1" applyProtection="1">
      <alignment vertical="center"/>
      <protection hidden="1"/>
    </xf>
    <xf numFmtId="0" fontId="0" fillId="7" borderId="87" xfId="0" applyFill="1" applyBorder="1" applyAlignment="1" applyProtection="1">
      <alignment vertical="center"/>
      <protection hidden="1"/>
    </xf>
    <xf numFmtId="0" fontId="1" fillId="8" borderId="88" xfId="0" applyFont="1" applyFill="1" applyBorder="1" applyAlignment="1" applyProtection="1">
      <alignment horizontal="center" vertical="center"/>
      <protection hidden="1"/>
    </xf>
    <xf numFmtId="0" fontId="1" fillId="8" borderId="89" xfId="0" applyFont="1" applyFill="1" applyBorder="1" applyAlignment="1" applyProtection="1">
      <alignment horizontal="center" vertical="center"/>
      <protection hidden="1"/>
    </xf>
    <xf numFmtId="167" fontId="0" fillId="0" borderId="90" xfId="0" applyNumberFormat="1" applyBorder="1" applyAlignment="1" applyProtection="1">
      <alignment horizontal="center" vertical="center"/>
      <protection locked="0"/>
    </xf>
    <xf numFmtId="167" fontId="0" fillId="0" borderId="91" xfId="0" applyNumberFormat="1" applyBorder="1" applyAlignment="1" applyProtection="1">
      <alignment horizontal="center" vertical="center"/>
      <protection locked="0"/>
    </xf>
    <xf numFmtId="167" fontId="0" fillId="0" borderId="26" xfId="0" applyNumberFormat="1" applyBorder="1" applyAlignment="1" applyProtection="1">
      <alignment horizontal="center" vertical="center"/>
      <protection locked="0"/>
    </xf>
    <xf numFmtId="167" fontId="0" fillId="0" borderId="27" xfId="0" applyNumberFormat="1" applyBorder="1" applyAlignment="1" applyProtection="1">
      <alignment horizontal="center" vertical="center"/>
      <protection locked="0"/>
    </xf>
    <xf numFmtId="167" fontId="0" fillId="0" borderId="92" xfId="0" applyNumberFormat="1" applyBorder="1" applyAlignment="1" applyProtection="1">
      <alignment horizontal="center" vertical="center"/>
      <protection locked="0"/>
    </xf>
    <xf numFmtId="167" fontId="0" fillId="0" borderId="84" xfId="0" applyNumberFormat="1" applyBorder="1" applyAlignment="1" applyProtection="1">
      <alignment horizontal="center" vertical="center"/>
      <protection locked="0"/>
    </xf>
    <xf numFmtId="0" fontId="1" fillId="20" borderId="32" xfId="0" applyFont="1" applyFill="1" applyBorder="1" applyAlignment="1" applyProtection="1">
      <alignment horizontal="center" vertical="center"/>
      <protection hidden="1"/>
    </xf>
    <xf numFmtId="0" fontId="1" fillId="20" borderId="28" xfId="0" applyFont="1" applyFill="1" applyBorder="1" applyAlignment="1" applyProtection="1">
      <alignment horizontal="center" vertical="center"/>
      <protection hidden="1"/>
    </xf>
    <xf numFmtId="0" fontId="1" fillId="20" borderId="31" xfId="0" applyFont="1" applyFill="1" applyBorder="1" applyAlignment="1" applyProtection="1">
      <alignment horizontal="center" vertical="center"/>
      <protection hidden="1"/>
    </xf>
    <xf numFmtId="0" fontId="1" fillId="20" borderId="22"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29" fillId="11" borderId="49"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protection hidden="1"/>
    </xf>
    <xf numFmtId="0" fontId="22" fillId="7" borderId="13" xfId="0" applyFont="1" applyFill="1" applyBorder="1" applyAlignment="1" applyProtection="1">
      <alignment horizontal="center" vertical="center" wrapText="1"/>
      <protection hidden="1"/>
    </xf>
    <xf numFmtId="0" fontId="22" fillId="7" borderId="20" xfId="0" applyFont="1" applyFill="1" applyBorder="1" applyAlignment="1" applyProtection="1">
      <alignment horizontal="center" vertical="center"/>
      <protection hidden="1"/>
    </xf>
    <xf numFmtId="0" fontId="22" fillId="7" borderId="14" xfId="0" applyFont="1" applyFill="1" applyBorder="1" applyAlignment="1" applyProtection="1">
      <alignment horizontal="center" vertical="center"/>
      <protection hidden="1"/>
    </xf>
    <xf numFmtId="0" fontId="27" fillId="3" borderId="13"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27" fillId="3" borderId="14" xfId="0" applyFont="1" applyFill="1" applyBorder="1" applyAlignment="1" applyProtection="1">
      <alignment horizontal="center" vertical="center" wrapText="1"/>
      <protection hidden="1"/>
    </xf>
    <xf numFmtId="0" fontId="9" fillId="11" borderId="32" xfId="0" applyFont="1" applyFill="1" applyBorder="1" applyAlignment="1" applyProtection="1">
      <alignment horizontal="left" vertical="center" wrapText="1"/>
      <protection hidden="1"/>
    </xf>
    <xf numFmtId="0" fontId="9" fillId="11" borderId="49" xfId="0" applyFont="1" applyFill="1" applyBorder="1" applyAlignment="1" applyProtection="1">
      <alignment horizontal="left" vertical="center" wrapText="1"/>
      <protection hidden="1"/>
    </xf>
    <xf numFmtId="0" fontId="9" fillId="11" borderId="28" xfId="0" applyFont="1" applyFill="1" applyBorder="1" applyAlignment="1" applyProtection="1">
      <alignment horizontal="left" vertical="center" wrapText="1"/>
      <protection hidden="1"/>
    </xf>
    <xf numFmtId="0" fontId="9" fillId="11" borderId="31" xfId="0" applyFont="1" applyFill="1" applyBorder="1" applyAlignment="1" applyProtection="1">
      <alignment horizontal="left" vertical="center" wrapText="1"/>
      <protection hidden="1"/>
    </xf>
    <xf numFmtId="0" fontId="9" fillId="11" borderId="30" xfId="0" applyFont="1" applyFill="1" applyBorder="1" applyAlignment="1" applyProtection="1">
      <alignment horizontal="left" vertical="center" wrapText="1"/>
      <protection hidden="1"/>
    </xf>
    <xf numFmtId="0" fontId="9" fillId="11" borderId="22" xfId="0" applyFont="1" applyFill="1" applyBorder="1" applyAlignment="1" applyProtection="1">
      <alignment horizontal="left" vertical="center" wrapText="1"/>
      <protection hidden="1"/>
    </xf>
    <xf numFmtId="10" fontId="27" fillId="11" borderId="24" xfId="0" applyNumberFormat="1" applyFont="1" applyFill="1" applyBorder="1" applyAlignment="1" applyProtection="1">
      <alignment horizontal="center" vertical="center"/>
      <protection hidden="1"/>
    </xf>
    <xf numFmtId="10" fontId="27" fillId="11" borderId="11" xfId="0" applyNumberFormat="1" applyFont="1" applyFill="1" applyBorder="1" applyAlignment="1" applyProtection="1">
      <alignment horizontal="center" vertical="center"/>
      <protection hidden="1"/>
    </xf>
    <xf numFmtId="10" fontId="32" fillId="11" borderId="13" xfId="0" applyNumberFormat="1" applyFont="1" applyFill="1" applyBorder="1" applyAlignment="1" applyProtection="1">
      <alignment horizontal="center" vertical="center"/>
      <protection hidden="1"/>
    </xf>
    <xf numFmtId="10" fontId="32"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0" fontId="32" fillId="12" borderId="13" xfId="0" applyFont="1" applyFill="1" applyBorder="1" applyAlignment="1" applyProtection="1">
      <alignment horizontal="left" vertical="center" wrapText="1"/>
      <protection hidden="1"/>
    </xf>
    <xf numFmtId="0" fontId="32" fillId="12" borderId="20" xfId="0" applyFont="1" applyFill="1" applyBorder="1" applyAlignment="1" applyProtection="1">
      <alignment horizontal="left" vertical="center" wrapText="1"/>
      <protection hidden="1"/>
    </xf>
    <xf numFmtId="0" fontId="32" fillId="12" borderId="14" xfId="0" applyFont="1" applyFill="1" applyBorder="1" applyAlignment="1" applyProtection="1">
      <alignment horizontal="left" vertical="center" wrapText="1"/>
      <protection hidden="1"/>
    </xf>
    <xf numFmtId="0" fontId="1" fillId="3" borderId="50" xfId="0" applyFont="1" applyFill="1" applyBorder="1" applyAlignment="1" applyProtection="1">
      <alignment horizontal="center" vertical="center" wrapText="1"/>
      <protection hidden="1"/>
    </xf>
    <xf numFmtId="0" fontId="1" fillId="3" borderId="31" xfId="0" applyFont="1" applyFill="1" applyBorder="1" applyAlignment="1" applyProtection="1">
      <alignment horizontal="center" vertical="center" wrapText="1"/>
      <protection hidden="1"/>
    </xf>
    <xf numFmtId="0" fontId="1" fillId="11" borderId="50" xfId="0" applyFont="1" applyFill="1" applyBorder="1" applyAlignment="1" applyProtection="1">
      <alignment horizontal="center" vertical="center" wrapText="1"/>
      <protection hidden="1"/>
    </xf>
    <xf numFmtId="0" fontId="1" fillId="11" borderId="51" xfId="0" applyFont="1" applyFill="1" applyBorder="1" applyAlignment="1" applyProtection="1">
      <alignment horizontal="center" vertical="center" wrapText="1"/>
      <protection hidden="1"/>
    </xf>
    <xf numFmtId="10" fontId="1" fillId="3" borderId="50" xfId="1" applyNumberFormat="1" applyFont="1" applyFill="1" applyBorder="1" applyAlignment="1" applyProtection="1">
      <alignment horizontal="center" vertical="center" wrapText="1"/>
      <protection hidden="1"/>
    </xf>
    <xf numFmtId="10" fontId="1" fillId="3" borderId="51"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0" fontId="1" fillId="20" borderId="32" xfId="0" applyFont="1" applyFill="1" applyBorder="1" applyAlignment="1" applyProtection="1">
      <alignment horizontal="center" vertical="center" wrapText="1"/>
      <protection hidden="1"/>
    </xf>
    <xf numFmtId="0" fontId="1" fillId="20" borderId="50" xfId="0" applyFont="1" applyFill="1" applyBorder="1" applyAlignment="1" applyProtection="1">
      <alignment horizontal="center" vertical="center" wrapText="1"/>
      <protection hidden="1"/>
    </xf>
    <xf numFmtId="0" fontId="1" fillId="20" borderId="24" xfId="0" applyFont="1" applyFill="1" applyBorder="1" applyAlignment="1" applyProtection="1">
      <alignment horizontal="center" vertical="center" wrapText="1"/>
      <protection hidden="1"/>
    </xf>
    <xf numFmtId="0" fontId="1" fillId="20" borderId="47" xfId="0" applyFont="1" applyFill="1" applyBorder="1" applyAlignment="1" applyProtection="1">
      <alignment horizontal="center" vertical="center" wrapText="1"/>
      <protection hidden="1"/>
    </xf>
    <xf numFmtId="0" fontId="43" fillId="11" borderId="13" xfId="0" applyFont="1" applyFill="1" applyBorder="1" applyAlignment="1" applyProtection="1">
      <alignment horizontal="center" vertical="center"/>
      <protection hidden="1"/>
    </xf>
    <xf numFmtId="0" fontId="43" fillId="11" borderId="20" xfId="0" applyFont="1" applyFill="1" applyBorder="1" applyAlignment="1" applyProtection="1">
      <alignment horizontal="center" vertical="center"/>
      <protection hidden="1"/>
    </xf>
    <xf numFmtId="0" fontId="43" fillId="11" borderId="14" xfId="0" applyFont="1" applyFill="1" applyBorder="1" applyAlignment="1" applyProtection="1">
      <alignment horizontal="center" vertical="center"/>
      <protection hidden="1"/>
    </xf>
    <xf numFmtId="165" fontId="32" fillId="3" borderId="13" xfId="0" applyNumberFormat="1" applyFont="1" applyFill="1" applyBorder="1" applyAlignment="1" applyProtection="1">
      <alignment horizontal="center" vertical="center"/>
      <protection hidden="1"/>
    </xf>
    <xf numFmtId="165" fontId="32" fillId="3" borderId="14" xfId="0" applyNumberFormat="1" applyFont="1" applyFill="1" applyBorder="1" applyAlignment="1" applyProtection="1">
      <alignment horizontal="center" vertical="center"/>
      <protection hidden="1"/>
    </xf>
    <xf numFmtId="0" fontId="5" fillId="5" borderId="0" xfId="0" applyFont="1" applyFill="1" applyAlignment="1" applyProtection="1">
      <alignment horizontal="left" vertical="top" wrapText="1"/>
      <protection hidden="1"/>
    </xf>
    <xf numFmtId="10" fontId="20" fillId="5" borderId="31" xfId="1" applyNumberFormat="1" applyFont="1" applyFill="1" applyBorder="1" applyAlignment="1" applyProtection="1">
      <alignment horizontal="center" vertical="center" wrapText="1"/>
      <protection hidden="1"/>
    </xf>
    <xf numFmtId="10" fontId="20" fillId="5" borderId="30" xfId="1" applyNumberFormat="1" applyFont="1" applyFill="1" applyBorder="1" applyAlignment="1" applyProtection="1">
      <alignment horizontal="center" vertical="center" wrapText="1"/>
      <protection hidden="1"/>
    </xf>
    <xf numFmtId="10" fontId="20" fillId="5" borderId="22" xfId="1" applyNumberFormat="1" applyFont="1" applyFill="1" applyBorder="1" applyAlignment="1" applyProtection="1">
      <alignment horizontal="center" vertical="center" wrapText="1"/>
      <protection hidden="1"/>
    </xf>
    <xf numFmtId="10" fontId="1" fillId="3" borderId="23" xfId="1" applyNumberFormat="1" applyFont="1" applyFill="1" applyBorder="1" applyAlignment="1" applyProtection="1">
      <alignment horizontal="right" vertical="center" indent="1"/>
      <protection hidden="1"/>
    </xf>
    <xf numFmtId="10" fontId="1" fillId="3" borderId="25" xfId="1" applyNumberFormat="1" applyFont="1" applyFill="1" applyBorder="1" applyAlignment="1" applyProtection="1">
      <alignment horizontal="right" vertical="center" indent="1"/>
      <protection hidden="1"/>
    </xf>
    <xf numFmtId="10" fontId="18" fillId="4" borderId="52" xfId="0" applyNumberFormat="1" applyFont="1" applyFill="1" applyBorder="1" applyAlignment="1" applyProtection="1">
      <alignment horizontal="right" vertical="center" wrapText="1"/>
      <protection hidden="1"/>
    </xf>
    <xf numFmtId="0" fontId="18" fillId="4" borderId="54" xfId="0" applyFont="1" applyFill="1" applyBorder="1" applyAlignment="1" applyProtection="1">
      <alignment horizontal="right" vertical="center" wrapText="1"/>
      <protection hidden="1"/>
    </xf>
    <xf numFmtId="0" fontId="10" fillId="21" borderId="49"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15" borderId="13" xfId="0" applyFont="1" applyFill="1" applyBorder="1" applyAlignment="1" applyProtection="1">
      <alignment horizontal="left" vertical="center"/>
      <protection hidden="1"/>
    </xf>
    <xf numFmtId="0" fontId="1" fillId="15" borderId="20" xfId="0" applyFont="1" applyFill="1" applyBorder="1" applyAlignment="1" applyProtection="1">
      <alignment horizontal="left" vertical="center"/>
      <protection hidden="1"/>
    </xf>
    <xf numFmtId="0" fontId="1" fillId="15" borderId="14" xfId="0" applyFont="1" applyFill="1" applyBorder="1" applyAlignment="1" applyProtection="1">
      <alignment horizontal="left" vertical="center"/>
      <protection hidden="1"/>
    </xf>
    <xf numFmtId="0" fontId="1" fillId="22" borderId="13" xfId="0" applyFont="1" applyFill="1" applyBorder="1" applyAlignment="1" applyProtection="1">
      <alignment horizontal="left" vertical="center" wrapText="1"/>
      <protection hidden="1"/>
    </xf>
    <xf numFmtId="0" fontId="1" fillId="22" borderId="20" xfId="0" applyFont="1" applyFill="1" applyBorder="1" applyAlignment="1" applyProtection="1">
      <alignment horizontal="left" vertical="center" wrapText="1"/>
      <protection hidden="1"/>
    </xf>
    <xf numFmtId="0" fontId="1" fillId="22" borderId="14" xfId="0" applyFont="1" applyFill="1" applyBorder="1" applyAlignment="1" applyProtection="1">
      <alignment horizontal="left" vertical="center" wrapText="1"/>
      <protection hidden="1"/>
    </xf>
    <xf numFmtId="0" fontId="1" fillId="8" borderId="13" xfId="0" applyFont="1" applyFill="1" applyBorder="1" applyAlignment="1" applyProtection="1">
      <alignment horizontal="center" vertical="center"/>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 fillId="8" borderId="14" xfId="0" applyFont="1" applyFill="1" applyBorder="1" applyAlignment="1" applyProtection="1">
      <alignment horizontal="center" vertical="center"/>
      <protection hidden="1"/>
    </xf>
    <xf numFmtId="0" fontId="19" fillId="8" borderId="63" xfId="0" applyFont="1" applyFill="1" applyBorder="1" applyAlignment="1" applyProtection="1">
      <alignment horizontal="left" vertical="center"/>
      <protection hidden="1"/>
    </xf>
    <xf numFmtId="0" fontId="19" fillId="8" borderId="55" xfId="0" applyFont="1" applyFill="1" applyBorder="1" applyAlignment="1" applyProtection="1">
      <alignment horizontal="left" vertical="center"/>
      <protection hidden="1"/>
    </xf>
    <xf numFmtId="0" fontId="19" fillId="8" borderId="52" xfId="0" applyFont="1" applyFill="1" applyBorder="1" applyAlignment="1" applyProtection="1">
      <alignment horizontal="left" vertical="center"/>
      <protection hidden="1"/>
    </xf>
    <xf numFmtId="0" fontId="19" fillId="8" borderId="37" xfId="0" applyFont="1" applyFill="1" applyBorder="1" applyAlignment="1" applyProtection="1">
      <alignment horizontal="left" vertical="center"/>
      <protection hidden="1"/>
    </xf>
    <xf numFmtId="0" fontId="19" fillId="8" borderId="58" xfId="0" applyFont="1" applyFill="1" applyBorder="1" applyAlignment="1" applyProtection="1">
      <alignment horizontal="left" vertical="center"/>
      <protection hidden="1"/>
    </xf>
    <xf numFmtId="0" fontId="19" fillId="8" borderId="60" xfId="0" applyFont="1" applyFill="1" applyBorder="1" applyAlignment="1" applyProtection="1">
      <alignment horizontal="left" vertical="center"/>
      <protection hidden="1"/>
    </xf>
    <xf numFmtId="0" fontId="18" fillId="5" borderId="0" xfId="0" applyFont="1" applyFill="1" applyAlignment="1" applyProtection="1">
      <alignment horizontal="left" vertical="center" wrapText="1"/>
      <protection hidden="1"/>
    </xf>
    <xf numFmtId="0" fontId="44" fillId="0" borderId="0" xfId="0" applyFont="1" applyAlignment="1">
      <alignment horizontal="center" vertical="top"/>
    </xf>
    <xf numFmtId="0" fontId="36" fillId="2" borderId="0" xfId="0" applyFont="1" applyFill="1" applyAlignment="1" applyProtection="1">
      <alignment horizontal="center" vertical="center" wrapText="1"/>
      <protection hidden="1"/>
    </xf>
    <xf numFmtId="0" fontId="36" fillId="0" borderId="30" xfId="0" applyFont="1" applyBorder="1" applyAlignment="1" applyProtection="1">
      <alignment horizontal="center" vertical="center" wrapText="1"/>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3" fillId="3" borderId="14" xfId="0" applyFont="1" applyFill="1" applyBorder="1" applyAlignment="1" applyProtection="1">
      <alignment horizontal="left" vertical="center"/>
      <protection hidden="1"/>
    </xf>
    <xf numFmtId="0" fontId="18" fillId="17" borderId="13" xfId="0" applyFont="1" applyFill="1" applyBorder="1" applyAlignment="1" applyProtection="1">
      <alignment horizontal="left" vertical="center"/>
      <protection hidden="1"/>
    </xf>
    <xf numFmtId="0" fontId="18" fillId="17" borderId="20" xfId="0" applyFont="1" applyFill="1" applyBorder="1" applyAlignment="1" applyProtection="1">
      <alignment horizontal="left" vertical="center"/>
      <protection hidden="1"/>
    </xf>
    <xf numFmtId="0" fontId="18" fillId="17" borderId="14" xfId="0" applyFont="1" applyFill="1" applyBorder="1" applyAlignment="1" applyProtection="1">
      <alignment horizontal="left" vertical="center"/>
      <protection hidden="1"/>
    </xf>
    <xf numFmtId="0" fontId="39" fillId="2" borderId="0" xfId="0" applyFont="1" applyFill="1" applyAlignment="1" applyProtection="1">
      <alignment horizontal="center" vertical="top"/>
      <protection hidden="1"/>
    </xf>
    <xf numFmtId="0" fontId="27" fillId="2" borderId="30" xfId="0" applyFont="1" applyFill="1" applyBorder="1" applyAlignment="1" applyProtection="1">
      <alignment horizontal="center" vertical="center"/>
      <protection hidden="1"/>
    </xf>
    <xf numFmtId="0" fontId="15" fillId="19" borderId="13" xfId="0" applyFont="1" applyFill="1" applyBorder="1" applyAlignment="1" applyProtection="1">
      <alignment horizontal="center" vertical="center"/>
      <protection hidden="1"/>
    </xf>
    <xf numFmtId="0" fontId="15" fillId="19" borderId="20" xfId="0" applyFont="1" applyFill="1" applyBorder="1" applyAlignment="1" applyProtection="1">
      <alignment horizontal="center" vertical="center"/>
      <protection hidden="1"/>
    </xf>
    <xf numFmtId="0" fontId="5" fillId="4" borderId="85"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70" xfId="0" applyFont="1" applyFill="1" applyBorder="1" applyAlignment="1" applyProtection="1">
      <alignment horizontal="center" vertical="center" wrapText="1"/>
      <protection hidden="1"/>
    </xf>
    <xf numFmtId="0" fontId="3" fillId="3" borderId="86"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40" fillId="4" borderId="76" xfId="0" applyFont="1" applyFill="1" applyBorder="1" applyAlignment="1" applyProtection="1">
      <alignment horizontal="center" vertical="center" wrapText="1"/>
      <protection hidden="1"/>
    </xf>
    <xf numFmtId="0" fontId="40" fillId="4" borderId="75" xfId="0" applyFont="1" applyFill="1" applyBorder="1" applyAlignment="1" applyProtection="1">
      <alignment horizontal="center" vertical="center" wrapText="1"/>
      <protection hidden="1"/>
    </xf>
    <xf numFmtId="0" fontId="14" fillId="15" borderId="24" xfId="0" applyFont="1" applyFill="1" applyBorder="1" applyAlignment="1" applyProtection="1">
      <alignment horizontal="center" vertical="center"/>
      <protection hidden="1"/>
    </xf>
    <xf numFmtId="0" fontId="14" fillId="15" borderId="11" xfId="0" applyFont="1" applyFill="1" applyBorder="1" applyAlignment="1" applyProtection="1">
      <alignment horizontal="center" vertical="center"/>
      <protection hidden="1"/>
    </xf>
    <xf numFmtId="0" fontId="1" fillId="22" borderId="13" xfId="0" applyFont="1" applyFill="1" applyBorder="1" applyAlignment="1" applyProtection="1">
      <alignment horizontal="left" vertical="center"/>
      <protection hidden="1"/>
    </xf>
    <xf numFmtId="0" fontId="1" fillId="22" borderId="20" xfId="0" applyFont="1" applyFill="1" applyBorder="1" applyAlignment="1" applyProtection="1">
      <alignment horizontal="left" vertical="center"/>
      <protection hidden="1"/>
    </xf>
    <xf numFmtId="0" fontId="1" fillId="22" borderId="14" xfId="0" applyFont="1" applyFill="1" applyBorder="1" applyAlignment="1" applyProtection="1">
      <alignment horizontal="left"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10" fillId="0" borderId="30" xfId="0" applyFont="1" applyBorder="1" applyAlignment="1" applyProtection="1">
      <alignment horizontal="center"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protection hidden="1"/>
    </xf>
    <xf numFmtId="0" fontId="1" fillId="13" borderId="14"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 fillId="8" borderId="31" xfId="0" applyFont="1" applyFill="1" applyBorder="1" applyAlignment="1" applyProtection="1">
      <alignment horizontal="center" vertical="center"/>
      <protection hidden="1"/>
    </xf>
    <xf numFmtId="0" fontId="1" fillId="8" borderId="22" xfId="0" applyFont="1" applyFill="1" applyBorder="1" applyAlignment="1" applyProtection="1">
      <alignment horizontal="center" vertical="center"/>
      <protection hidden="1"/>
    </xf>
    <xf numFmtId="0" fontId="10" fillId="2" borderId="0" xfId="0" applyFont="1" applyFill="1" applyAlignment="1" applyProtection="1">
      <alignment horizontal="justify" vertical="center" wrapText="1"/>
      <protection hidden="1"/>
    </xf>
    <xf numFmtId="165" fontId="3" fillId="2" borderId="0" xfId="0" applyNumberFormat="1" applyFont="1" applyFill="1" applyAlignment="1" applyProtection="1">
      <alignment horizontal="center" vertical="center"/>
      <protection hidden="1"/>
    </xf>
    <xf numFmtId="0" fontId="15" fillId="18" borderId="67" xfId="0" applyFont="1" applyFill="1" applyBorder="1" applyAlignment="1" applyProtection="1">
      <alignment horizontal="center" vertical="center"/>
      <protection hidden="1"/>
    </xf>
    <xf numFmtId="0" fontId="15" fillId="18" borderId="68" xfId="0" applyFont="1" applyFill="1" applyBorder="1" applyAlignment="1" applyProtection="1">
      <alignment horizontal="center" vertical="center"/>
      <protection hidden="1"/>
    </xf>
    <xf numFmtId="0" fontId="5" fillId="4" borderId="65"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3" fillId="3" borderId="71" xfId="0" applyFont="1" applyFill="1" applyBorder="1" applyAlignment="1" applyProtection="1">
      <alignment horizontal="center" vertical="center" wrapText="1"/>
      <protection hidden="1"/>
    </xf>
    <xf numFmtId="0" fontId="38" fillId="2" borderId="30" xfId="0" applyFont="1" applyFill="1" applyBorder="1" applyAlignment="1" applyProtection="1">
      <alignment horizontal="center" vertical="top"/>
      <protection hidden="1"/>
    </xf>
    <xf numFmtId="0" fontId="9" fillId="2" borderId="30" xfId="0" applyFont="1" applyFill="1" applyBorder="1" applyAlignment="1" applyProtection="1">
      <alignment horizontal="center" vertical="center"/>
      <protection hidden="1"/>
    </xf>
    <xf numFmtId="0" fontId="3" fillId="5" borderId="0" xfId="0" applyFont="1" applyFill="1" applyAlignment="1" applyProtection="1">
      <alignment horizontal="left" vertical="center" wrapText="1"/>
      <protection hidden="1"/>
    </xf>
    <xf numFmtId="0" fontId="17" fillId="0" borderId="30" xfId="0" applyFont="1" applyBorder="1" applyAlignment="1" applyProtection="1">
      <alignment horizontal="center" vertical="center"/>
      <protection hidden="1"/>
    </xf>
    <xf numFmtId="0" fontId="47" fillId="0" borderId="50" xfId="0" applyFont="1" applyBorder="1" applyAlignment="1" applyProtection="1">
      <alignment horizontal="center" vertical="center" wrapText="1"/>
      <protection hidden="1"/>
    </xf>
    <xf numFmtId="0" fontId="38" fillId="2" borderId="0" xfId="0" applyFont="1" applyFill="1" applyAlignment="1" applyProtection="1">
      <alignment horizontal="center" vertical="center"/>
      <protection hidden="1"/>
    </xf>
    <xf numFmtId="0" fontId="38" fillId="2" borderId="30" xfId="0" applyFont="1" applyFill="1" applyBorder="1" applyAlignment="1" applyProtection="1">
      <alignment horizontal="center" vertical="center"/>
      <protection hidden="1"/>
    </xf>
    <xf numFmtId="0" fontId="40" fillId="4" borderId="74" xfId="0" applyFont="1" applyFill="1" applyBorder="1" applyAlignment="1" applyProtection="1">
      <alignment horizontal="center" vertical="center" wrapText="1"/>
      <protection hidden="1"/>
    </xf>
    <xf numFmtId="0" fontId="5" fillId="17" borderId="79" xfId="0" applyFont="1" applyFill="1" applyBorder="1" applyAlignment="1" applyProtection="1">
      <alignment horizontal="center" vertical="center" wrapText="1"/>
      <protection hidden="1"/>
    </xf>
    <xf numFmtId="0" fontId="5" fillId="17" borderId="80" xfId="0" applyFont="1" applyFill="1" applyBorder="1" applyAlignment="1" applyProtection="1">
      <alignment horizontal="center" vertical="center" wrapText="1"/>
      <protection hidden="1"/>
    </xf>
    <xf numFmtId="0" fontId="3" fillId="3" borderId="81" xfId="0" applyFont="1" applyFill="1" applyBorder="1" applyAlignment="1" applyProtection="1">
      <alignment horizontal="center" vertical="center" wrapText="1"/>
      <protection hidden="1"/>
    </xf>
    <xf numFmtId="0" fontId="3" fillId="3" borderId="82" xfId="0" applyFont="1" applyFill="1" applyBorder="1" applyAlignment="1" applyProtection="1">
      <alignment horizontal="center" vertical="center" wrapText="1"/>
      <protection hidden="1"/>
    </xf>
  </cellXfs>
  <cellStyles count="2">
    <cellStyle name="Normalny" xfId="0" builtinId="0"/>
    <cellStyle name="Procentowy" xfId="1" builtinId="5"/>
  </cellStyles>
  <dxfs count="4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
      <fill>
        <patternFill>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99"/>
      <color rgb="FFFAD3BE"/>
      <color rgb="FFEDE1ED"/>
      <color rgb="FFF5D9E2"/>
      <color rgb="FFF1DDE5"/>
      <color rgb="FFF9D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53340</xdr:rowOff>
    </xdr:from>
    <xdr:to>
      <xdr:col>17</xdr:col>
      <xdr:colOff>472440</xdr:colOff>
      <xdr:row>54</xdr:row>
      <xdr:rowOff>167640</xdr:rowOff>
    </xdr:to>
    <xdr:sp macro="" textlink="">
      <xdr:nvSpPr>
        <xdr:cNvPr id="2" name="pole tekstowe 1">
          <a:extLst>
            <a:ext uri="{FF2B5EF4-FFF2-40B4-BE49-F238E27FC236}">
              <a16:creationId xmlns:a16="http://schemas.microsoft.com/office/drawing/2014/main" xmlns="" id="{0A8D862B-2FCF-4422-9E3C-FF680764DCA9}"/>
            </a:ext>
          </a:extLst>
        </xdr:cNvPr>
        <xdr:cNvSpPr txBox="1"/>
      </xdr:nvSpPr>
      <xdr:spPr>
        <a:xfrm>
          <a:off x="60960" y="53340"/>
          <a:ext cx="10774680" cy="9989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SM". </a:t>
          </a:r>
          <a:r>
            <a:rPr lang="pl-PL" sz="1100" b="0"/>
            <a:t>Wypełniamy pola </a:t>
          </a:r>
          <a:r>
            <a:rPr lang="pl-PL" sz="1100" b="1"/>
            <a:t>jasne, tj.:</a:t>
          </a:r>
        </a:p>
        <a:p>
          <a:r>
            <a:rPr lang="pl-PL" sz="1100" b="0"/>
            <a:t>     a)  </a:t>
          </a:r>
          <a:r>
            <a:rPr lang="pl-PL" sz="1100" b="0">
              <a:solidFill>
                <a:schemeClr val="dk1"/>
              </a:solidFill>
              <a:effectLst/>
              <a:latin typeface="+mn-lt"/>
              <a:ea typeface="+mn-ea"/>
              <a:cs typeface="+mn-cs"/>
            </a:rPr>
            <a:t>)  </a:t>
          </a:r>
          <a:r>
            <a:rPr lang="pl-PL" sz="1100" b="1">
              <a:solidFill>
                <a:schemeClr val="dk1"/>
              </a:solidFill>
              <a:effectLst/>
              <a:latin typeface="+mn-lt"/>
              <a:ea typeface="+mn-ea"/>
              <a:cs typeface="+mn-cs"/>
            </a:rPr>
            <a:t>w TABELI A. w Kolumnie</a:t>
          </a:r>
          <a:r>
            <a:rPr lang="pl-PL" sz="1100" b="1" baseline="0">
              <a:solidFill>
                <a:schemeClr val="dk1"/>
              </a:solidFill>
              <a:effectLst/>
              <a:latin typeface="+mn-lt"/>
              <a:ea typeface="+mn-ea"/>
              <a:cs typeface="+mn-cs"/>
            </a:rPr>
            <a:t> pt</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"Roczne uposażenie/wynagrodzenie funkcjonariusza  SM"</a:t>
          </a:r>
          <a:r>
            <a:rPr lang="pl-PL" sz="1100" b="0" baseline="0">
              <a:solidFill>
                <a:schemeClr val="dk1"/>
              </a:solidFill>
              <a:effectLst/>
              <a:latin typeface="+mn-lt"/>
              <a:ea typeface="+mn-ea"/>
              <a:cs typeface="+mn-cs"/>
            </a:rPr>
            <a:t>  -  wprowadzamy sumę kwot uposażeń </a:t>
          </a:r>
          <a:r>
            <a:rPr lang="pl-PL" sz="1100" b="1" baseline="0">
              <a:solidFill>
                <a:schemeClr val="dk1"/>
              </a:solidFill>
              <a:effectLst/>
              <a:latin typeface="+mn-lt"/>
              <a:ea typeface="+mn-ea"/>
              <a:cs typeface="+mn-cs"/>
            </a:rPr>
            <a:t>w SM </a:t>
          </a:r>
          <a:r>
            <a:rPr lang="pl-PL" sz="1100">
              <a:solidFill>
                <a:schemeClr val="dk1"/>
              </a:solidFill>
              <a:effectLst/>
              <a:latin typeface="+mn-lt"/>
              <a:ea typeface="+mn-ea"/>
              <a:cs typeface="+mn-cs"/>
            </a:rPr>
            <a:t> </a:t>
          </a:r>
          <a:r>
            <a:rPr lang="pl-PL" sz="1100" b="0" baseline="0">
              <a:solidFill>
                <a:schemeClr val="dk1"/>
              </a:solidFill>
              <a:effectLst/>
              <a:latin typeface="+mn-lt"/>
              <a:ea typeface="+mn-ea"/>
              <a:cs typeface="+mn-cs"/>
            </a:rPr>
            <a:t>lub wynagrodzeń   </a:t>
          </a:r>
          <a:endParaRPr lang="pl-PL">
            <a:effectLst/>
          </a:endParaRPr>
        </a:p>
        <a:p>
          <a:r>
            <a:rPr lang="pl-PL" sz="1100" b="0" baseline="0">
              <a:solidFill>
                <a:schemeClr val="dk1"/>
              </a:solidFill>
              <a:effectLst/>
              <a:latin typeface="+mn-lt"/>
              <a:ea typeface="+mn-ea"/>
              <a:cs typeface="+mn-cs"/>
            </a:rPr>
            <a:t>          na stanowiskach w SM (rocznych lub z danych okresów  - dotyczy roku 2018, które należy wprowdzić w dwóch wierszach),  </a:t>
          </a:r>
          <a:r>
            <a:rPr lang="pl-PL" sz="1100" b="1" baseline="0">
              <a:solidFill>
                <a:schemeClr val="dk1"/>
              </a:solidFill>
              <a:effectLst/>
              <a:latin typeface="+mn-lt"/>
              <a:ea typeface="+mn-ea"/>
              <a:cs typeface="+mn-cs"/>
            </a:rPr>
            <a:t>należnych </a:t>
          </a:r>
          <a:r>
            <a:rPr lang="pl-PL" sz="1100" b="0" baseline="0">
              <a:solidFill>
                <a:schemeClr val="dk1"/>
              </a:solidFill>
              <a:effectLst/>
              <a:latin typeface="+mn-lt"/>
              <a:ea typeface="+mn-ea"/>
              <a:cs typeface="+mn-cs"/>
            </a:rPr>
            <a:t>funkcjonariuszowi. </a:t>
          </a:r>
          <a:endParaRPr lang="pl-PL">
            <a:effectLst/>
          </a:endParaRPr>
        </a:p>
        <a:p>
          <a:r>
            <a:rPr lang="pl-PL" sz="1100" b="0" baseline="0">
              <a:solidFill>
                <a:schemeClr val="dk1"/>
              </a:solidFill>
              <a:effectLst/>
              <a:latin typeface="+mn-lt"/>
              <a:ea typeface="+mn-ea"/>
              <a:cs typeface="+mn-cs"/>
            </a:rPr>
            <a:t>          Za kwotę  uposażenia należnego  w SM przyjmujemy uposażenie zasadnicze wraz z dodatkami o charakterze stałym  i należną nagrodą roczną.</a:t>
          </a:r>
          <a:endParaRPr lang="pl-PL">
            <a:effectLst/>
          </a:endParaRP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E52 systemowo zostanie obliczona suma 10 najkorzystniejszych wskaźników </a:t>
          </a:r>
          <a:r>
            <a:rPr lang="pl-PL" sz="1100" b="1" u="sng" baseline="0">
              <a:solidFill>
                <a:schemeClr val="dk1"/>
              </a:solidFill>
              <a:effectLst/>
              <a:latin typeface="+mn-lt"/>
              <a:ea typeface="+mn-ea"/>
              <a:cs typeface="+mn-cs"/>
            </a:rPr>
            <a:t>z  kolejnych 10 lat kalendarzowych</a:t>
          </a:r>
          <a:r>
            <a:rPr lang="pl-PL" sz="1100" b="1" baseline="0">
              <a:solidFill>
                <a:schemeClr val="dk1"/>
              </a:solidFill>
              <a:effectLst/>
              <a:latin typeface="+mn-lt"/>
              <a:ea typeface="+mn-ea"/>
              <a:cs typeface="+mn-cs"/>
            </a:rPr>
            <a:t>. W</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komórce E53 systemowo </a:t>
          </a:r>
        </a:p>
        <a:p>
          <a:r>
            <a:rPr lang="pl-PL" sz="1100" b="1" baseline="0">
              <a:solidFill>
                <a:schemeClr val="dk1"/>
              </a:solidFill>
              <a:effectLst/>
              <a:latin typeface="+mn-lt"/>
              <a:ea typeface="+mn-ea"/>
              <a:cs typeface="+mn-cs"/>
            </a:rPr>
            <a:t>         zostanie obliczony WWPW- wskaźnik wysokości podstawy wymiaru (średnia arytmetyczna ww. wskaźników z kolejnych 10 lat kalendarzowych).</a:t>
          </a:r>
          <a:endParaRPr lang="pl-PL">
            <a:effectLst/>
          </a:endParaRPr>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A69 - datę zwolnienia ze służby </a:t>
          </a:r>
          <a:r>
            <a:rPr lang="pl-PL" sz="1100" b="1" baseline="0">
              <a:solidFill>
                <a:srgbClr val="C00000"/>
              </a:solidFill>
            </a:rPr>
            <a:t>(w formacie daty RRRR-MM-DD). </a:t>
          </a:r>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A69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daty zwolnienia ze służby</a:t>
          </a:r>
          <a:r>
            <a:rPr lang="pl-PL" sz="1100" b="0" baseline="0">
              <a:solidFill>
                <a:schemeClr val="dk1"/>
              </a:solidFill>
              <a:effectLst/>
              <a:latin typeface="+mn-lt"/>
              <a:ea typeface="+mn-ea"/>
              <a:cs typeface="+mn-cs"/>
            </a:rPr>
            <a:t>, kwota  przeciętnego miesięcznego uposażenia z dnia zwolnienia zwolnienia ze służby, zostanie automatycznie pobrana </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B69.  Podstawę wymiaru emerytury, </a:t>
          </a:r>
          <a:r>
            <a:rPr lang="pl-PL" sz="1100" b="0" baseline="0">
              <a:solidFill>
                <a:schemeClr val="dk1"/>
              </a:solidFill>
              <a:effectLst/>
              <a:latin typeface="+mn-lt"/>
              <a:ea typeface="+mn-ea"/>
              <a:cs typeface="+mn-cs"/>
            </a:rPr>
            <a:t>bez jej podwyższenia z tytułu świadczenia za dugoletnią służbę  stanowi kwota obliczona </a:t>
          </a:r>
        </a:p>
        <a:p>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 komóce D70</a:t>
          </a:r>
          <a:r>
            <a:rPr lang="pl-PL" sz="1100" b="0" baseline="0">
              <a:solidFill>
                <a:schemeClr val="dk1"/>
              </a:solidFill>
              <a:effectLst/>
              <a:latin typeface="+mn-lt"/>
              <a:ea typeface="+mn-ea"/>
              <a:cs typeface="+mn-cs"/>
            </a:rPr>
            <a:t>. Kwota z komórki D70 zostanie automatycznie przeniesiona do zakładek: </a:t>
          </a:r>
          <a:r>
            <a:rPr lang="pl-PL" sz="1100" b="0">
              <a:solidFill>
                <a:schemeClr val="dk1"/>
              </a:solidFill>
              <a:effectLst/>
              <a:latin typeface="+mn-lt"/>
              <a:ea typeface="+mn-ea"/>
              <a:cs typeface="+mn-cs"/>
            </a:rPr>
            <a:t>"art. 15 albo15a SM", "art. 15aa SM", "art. 18e SM"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SM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E56</a:t>
          </a:r>
          <a:r>
            <a:rPr lang="pl-PL" sz="1100" i="1" baseline="0">
              <a:solidFill>
                <a:schemeClr val="dk1"/>
              </a:solidFill>
              <a:effectLst/>
              <a:latin typeface="+mn-lt"/>
              <a:ea typeface="+mn-ea"/>
              <a:cs typeface="+mn-cs"/>
            </a:rPr>
            <a:t>.  Zatem, jeżeli wartośc w komórce </a:t>
          </a:r>
          <a:r>
            <a:rPr lang="pl-PL" sz="1100" b="1" i="1" baseline="0">
              <a:solidFill>
                <a:schemeClr val="dk1"/>
              </a:solidFill>
              <a:effectLst/>
              <a:latin typeface="+mn-lt"/>
              <a:ea typeface="+mn-ea"/>
              <a:cs typeface="+mn-cs"/>
            </a:rPr>
            <a:t>E56&gt;0%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E56.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E56=0%,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E53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 albo 15a SM"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SM"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SM"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baseline="0">
            <a:solidFill>
              <a:srgbClr val="C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8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 albo 15a</a:t>
          </a:r>
          <a:r>
            <a:rPr lang="pl-PL" sz="1100" b="1" baseline="0">
              <a:solidFill>
                <a:srgbClr val="C00000"/>
              </a:solidFill>
            </a:rPr>
            <a:t> SM</a:t>
          </a:r>
          <a:r>
            <a:rPr lang="pl-PL" sz="1100" b="1">
              <a:solidFill>
                <a:srgbClr val="C00000"/>
              </a:solidFill>
            </a:rPr>
            <a:t>".</a:t>
          </a:r>
          <a:r>
            <a:rPr lang="pl-PL" sz="1100">
              <a:solidFill>
                <a:srgbClr val="C00000"/>
              </a:solidFill>
            </a:rPr>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SM");</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11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SM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SM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ustalonej w wymiarze pojedynczym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(liczonej wraz z okresami równorzędnymi ze służbą) może dodatkowo obliczyć wysokość emerytury ustalonej  na podstawie art. 15aa ustawy zaopatrzeniowej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wypełniając odpowiednie dane w zakładce </a:t>
          </a:r>
          <a:r>
            <a:rPr lang="pl-PL" sz="1100" b="1" baseline="0">
              <a:solidFill>
                <a:srgbClr val="C00000"/>
              </a:solidFill>
              <a:effectLst/>
              <a:latin typeface="+mn-lt"/>
              <a:ea typeface="+mn-ea"/>
              <a:cs typeface="+mn-cs"/>
            </a:rPr>
            <a:t>"art. 15aa SM". </a:t>
          </a:r>
          <a:r>
            <a:rPr lang="pl-PL" sz="1100" b="0" baseline="0">
              <a:solidFill>
                <a:schemeClr val="dk1"/>
              </a:solidFill>
              <a:effectLst/>
              <a:latin typeface="+mn-lt"/>
              <a:ea typeface="+mn-ea"/>
              <a:cs typeface="+mn-cs"/>
            </a:rPr>
            <a:t>Data zwolnienia ze służby pobierana jest automatycznie z zakładki </a:t>
          </a:r>
          <a:r>
            <a:rPr lang="pl-PL" sz="1100" b="1">
              <a:solidFill>
                <a:schemeClr val="dk1"/>
              </a:solidFill>
              <a:effectLst/>
              <a:latin typeface="+mn-lt"/>
              <a:ea typeface="+mn-ea"/>
              <a:cs typeface="+mn-cs"/>
            </a:rPr>
            <a:t>"Podstawa wymiaru  10 lat SM".</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p>
        <a:p>
          <a:r>
            <a:rPr lang="pl-PL" sz="1100" b="1" baseline="0">
              <a:solidFill>
                <a:schemeClr val="dk1"/>
              </a:solidFill>
              <a:effectLst/>
              <a:latin typeface="+mn-lt"/>
              <a:ea typeface="+mn-ea"/>
              <a:cs typeface="+mn-cs"/>
            </a:rPr>
            <a:t>     wypełnia dane w zakładce "art. 18e SM".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W zakładce tej należy obowiązkowo  wypełnić pola jasne, tj.:</a:t>
          </a:r>
          <a:endParaRPr lang="pl-PL">
            <a:effectLst/>
          </a:endParaRP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r>
            <a:rPr lang="pl-PL" sz="1100" b="1">
              <a:solidFill>
                <a:schemeClr val="dk1"/>
              </a:solidFill>
              <a:effectLst/>
              <a:latin typeface="+mn-lt"/>
              <a:ea typeface="+mn-ea"/>
              <a:cs typeface="+mn-cs"/>
            </a:rPr>
            <a:t>;</a:t>
          </a:r>
          <a:endParaRPr lang="pl-PL">
            <a:effectLst/>
          </a:endParaRPr>
        </a:p>
        <a:p>
          <a:pPr eaLnBrk="1" fontAlgn="auto" latinLnBrk="0" hangingPunct="1"/>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SM");</a:t>
          </a:r>
          <a:endParaRPr lang="pl-PL">
            <a:effectLst/>
          </a:endParaRPr>
        </a:p>
        <a:p>
          <a:pPr eaLnBrk="1" fontAlgn="auto" latinLnBrk="0" hangingPunct="1"/>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endParaRPr lang="pl-PL">
            <a:effectLst/>
          </a:endParaRP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endParaRPr lang="pl-PL"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28" workbookViewId="0">
      <selection activeCell="S48" sqref="S48"/>
    </sheetView>
  </sheetViews>
  <sheetFormatPr defaultColWidth="8.88671875" defaultRowHeight="14.4" x14ac:dyDescent="0.3"/>
  <cols>
    <col min="1" max="16384" width="8.88671875" style="1"/>
  </cols>
  <sheetData>
    <row r="2" spans="1:13" x14ac:dyDescent="0.3">
      <c r="A2" s="11"/>
      <c r="B2" s="11"/>
      <c r="C2" s="11"/>
      <c r="D2" s="11"/>
      <c r="E2" s="11"/>
      <c r="F2" s="11"/>
      <c r="G2" s="11"/>
      <c r="H2" s="11"/>
    </row>
    <row r="4" spans="1:13" ht="14.4" customHeight="1" x14ac:dyDescent="0.3">
      <c r="A4" s="12" t="s">
        <v>60</v>
      </c>
      <c r="B4" s="158"/>
      <c r="C4" s="158"/>
      <c r="D4" s="158"/>
      <c r="E4" s="158"/>
      <c r="F4" s="158"/>
      <c r="G4" s="158"/>
      <c r="H4" s="158"/>
      <c r="I4" s="158"/>
      <c r="J4" s="158"/>
      <c r="K4" s="158"/>
      <c r="L4" s="158"/>
      <c r="M4" s="158"/>
    </row>
    <row r="5" spans="1:13" x14ac:dyDescent="0.3">
      <c r="A5" s="158"/>
      <c r="B5" s="158"/>
      <c r="C5" s="158"/>
      <c r="D5" s="158"/>
      <c r="E5" s="158"/>
      <c r="F5" s="158"/>
      <c r="G5" s="158"/>
      <c r="H5" s="158"/>
      <c r="I5" s="158"/>
      <c r="J5" s="158"/>
      <c r="K5" s="158"/>
      <c r="L5" s="158"/>
      <c r="M5" s="158"/>
    </row>
    <row r="6" spans="1:13" x14ac:dyDescent="0.3">
      <c r="A6" s="158"/>
      <c r="B6" s="158"/>
      <c r="C6" s="158"/>
      <c r="D6" s="158"/>
      <c r="E6" s="158"/>
      <c r="F6" s="158"/>
      <c r="G6" s="158"/>
      <c r="H6" s="158"/>
      <c r="I6" s="158"/>
      <c r="J6" s="158"/>
      <c r="K6" s="158"/>
      <c r="L6" s="158"/>
      <c r="M6" s="158"/>
    </row>
    <row r="7" spans="1:13" x14ac:dyDescent="0.3">
      <c r="A7" s="158"/>
      <c r="B7" s="158"/>
      <c r="C7" s="158"/>
      <c r="D7" s="158"/>
      <c r="E7" s="158"/>
      <c r="F7" s="158"/>
      <c r="G7" s="158"/>
      <c r="H7" s="158"/>
      <c r="I7" s="158"/>
      <c r="J7" s="158"/>
      <c r="K7" s="158"/>
      <c r="L7" s="158"/>
      <c r="M7" s="158"/>
    </row>
    <row r="8" spans="1:13" x14ac:dyDescent="0.3">
      <c r="A8" s="158"/>
      <c r="B8" s="158"/>
      <c r="C8" s="158"/>
      <c r="D8" s="158"/>
      <c r="E8" s="158"/>
      <c r="F8" s="158"/>
      <c r="G8" s="158"/>
      <c r="H8" s="158"/>
      <c r="I8" s="158"/>
      <c r="J8" s="158"/>
      <c r="K8" s="158"/>
      <c r="L8" s="158"/>
      <c r="M8" s="158"/>
    </row>
    <row r="9" spans="1:13" x14ac:dyDescent="0.3">
      <c r="A9" s="158"/>
      <c r="B9" s="158"/>
      <c r="C9" s="158"/>
      <c r="D9" s="158"/>
      <c r="E9" s="158"/>
      <c r="F9" s="158"/>
      <c r="G9" s="158"/>
      <c r="H9" s="158"/>
      <c r="I9" s="158"/>
      <c r="J9" s="158"/>
      <c r="K9" s="158"/>
      <c r="L9" s="158"/>
      <c r="M9" s="158"/>
    </row>
    <row r="10" spans="1:13" x14ac:dyDescent="0.3">
      <c r="A10" s="158"/>
      <c r="B10" s="158"/>
      <c r="C10" s="158"/>
      <c r="D10" s="158"/>
      <c r="E10" s="158"/>
      <c r="F10" s="158"/>
      <c r="G10" s="158"/>
      <c r="H10" s="158"/>
      <c r="I10" s="158"/>
      <c r="J10" s="158"/>
      <c r="K10" s="158"/>
      <c r="L10" s="158"/>
      <c r="M10" s="158"/>
    </row>
    <row r="11" spans="1:13" x14ac:dyDescent="0.3">
      <c r="A11" s="158"/>
      <c r="B11" s="158"/>
      <c r="C11" s="158"/>
      <c r="D11" s="158"/>
      <c r="E11" s="158"/>
      <c r="F11" s="158"/>
      <c r="G11" s="158"/>
      <c r="H11" s="158"/>
      <c r="I11" s="158"/>
      <c r="J11" s="158"/>
      <c r="K11" s="158"/>
      <c r="L11" s="158"/>
      <c r="M11" s="158"/>
    </row>
    <row r="12" spans="1:13" x14ac:dyDescent="0.3">
      <c r="A12" s="158"/>
      <c r="B12" s="158"/>
      <c r="C12" s="158"/>
      <c r="D12" s="158"/>
      <c r="E12" s="158"/>
      <c r="F12" s="158"/>
      <c r="G12" s="158"/>
      <c r="H12" s="158"/>
      <c r="I12" s="158"/>
      <c r="J12" s="158"/>
      <c r="K12" s="158"/>
      <c r="L12" s="158"/>
      <c r="M12" s="158"/>
    </row>
    <row r="13" spans="1:13" x14ac:dyDescent="0.3">
      <c r="A13" s="158"/>
      <c r="B13" s="158"/>
      <c r="C13" s="158"/>
      <c r="D13" s="158"/>
      <c r="E13" s="158"/>
      <c r="F13" s="158"/>
      <c r="G13" s="158"/>
      <c r="H13" s="158"/>
      <c r="I13" s="158"/>
      <c r="J13" s="158"/>
      <c r="K13" s="158"/>
      <c r="L13" s="158"/>
      <c r="M13" s="158"/>
    </row>
    <row r="14" spans="1:13" x14ac:dyDescent="0.3">
      <c r="A14" s="158"/>
      <c r="B14" s="158"/>
      <c r="C14" s="158"/>
      <c r="D14" s="158"/>
      <c r="E14" s="158"/>
      <c r="F14" s="158"/>
      <c r="G14" s="158"/>
      <c r="H14" s="158"/>
      <c r="I14" s="158"/>
      <c r="J14" s="158"/>
      <c r="K14" s="158"/>
      <c r="L14" s="158"/>
      <c r="M14" s="158"/>
    </row>
    <row r="15" spans="1:13" x14ac:dyDescent="0.3">
      <c r="A15" s="158"/>
      <c r="B15" s="158"/>
      <c r="C15" s="158"/>
      <c r="D15" s="158"/>
      <c r="E15" s="158"/>
      <c r="F15" s="158"/>
      <c r="G15" s="158"/>
      <c r="H15" s="158"/>
      <c r="I15" s="158"/>
      <c r="J15" s="158"/>
      <c r="K15" s="158"/>
      <c r="L15" s="158"/>
      <c r="M15" s="158"/>
    </row>
    <row r="16" spans="1:13" x14ac:dyDescent="0.3">
      <c r="A16" s="158"/>
      <c r="B16" s="158"/>
      <c r="C16" s="158"/>
      <c r="D16" s="158"/>
      <c r="E16" s="158"/>
      <c r="F16" s="158"/>
      <c r="G16" s="158"/>
      <c r="H16" s="158"/>
      <c r="I16" s="158"/>
      <c r="J16" s="158"/>
      <c r="K16" s="158"/>
      <c r="L16" s="158"/>
      <c r="M16" s="158"/>
    </row>
    <row r="17" spans="1:13" x14ac:dyDescent="0.3">
      <c r="A17" s="158"/>
      <c r="B17" s="158"/>
      <c r="C17" s="158"/>
      <c r="D17" s="158"/>
      <c r="E17" s="158"/>
      <c r="F17" s="158"/>
      <c r="G17" s="158"/>
      <c r="H17" s="158"/>
      <c r="I17" s="158"/>
      <c r="J17" s="158"/>
      <c r="K17" s="158"/>
      <c r="L17" s="158"/>
      <c r="M17" s="158"/>
    </row>
    <row r="18" spans="1:13" x14ac:dyDescent="0.3">
      <c r="A18" s="158"/>
      <c r="B18" s="158"/>
      <c r="C18" s="158"/>
      <c r="D18" s="158"/>
      <c r="E18" s="158"/>
      <c r="F18" s="158"/>
      <c r="G18" s="158"/>
      <c r="H18" s="158"/>
      <c r="I18" s="158"/>
      <c r="J18" s="158"/>
      <c r="K18" s="158"/>
      <c r="L18" s="158"/>
      <c r="M18" s="158"/>
    </row>
    <row r="19" spans="1:13" x14ac:dyDescent="0.3">
      <c r="A19" s="158"/>
      <c r="B19" s="158"/>
      <c r="C19" s="158"/>
      <c r="D19" s="158"/>
      <c r="E19" s="158"/>
      <c r="F19" s="158"/>
      <c r="G19" s="158"/>
      <c r="H19" s="158"/>
      <c r="I19" s="158"/>
      <c r="J19" s="158"/>
      <c r="K19" s="158"/>
      <c r="L19" s="158"/>
      <c r="M19" s="158"/>
    </row>
    <row r="20" spans="1:13" x14ac:dyDescent="0.3">
      <c r="A20" s="158"/>
      <c r="B20" s="158"/>
      <c r="C20" s="158"/>
      <c r="D20" s="158"/>
      <c r="E20" s="158"/>
      <c r="F20" s="158"/>
      <c r="G20" s="158"/>
      <c r="H20" s="158"/>
      <c r="I20" s="158"/>
      <c r="J20" s="158"/>
      <c r="K20" s="158"/>
      <c r="L20" s="158"/>
      <c r="M20" s="158"/>
    </row>
    <row r="21" spans="1:13" x14ac:dyDescent="0.3">
      <c r="A21" s="158"/>
      <c r="B21" s="158"/>
      <c r="C21" s="158"/>
      <c r="D21" s="158"/>
      <c r="E21" s="158"/>
      <c r="F21" s="158"/>
      <c r="G21" s="158"/>
      <c r="H21" s="158"/>
      <c r="I21" s="158"/>
      <c r="J21" s="158"/>
      <c r="K21" s="158"/>
      <c r="L21" s="158"/>
      <c r="M21" s="158"/>
    </row>
    <row r="22" spans="1:13" x14ac:dyDescent="0.3">
      <c r="A22" s="158"/>
      <c r="B22" s="158"/>
      <c r="C22" s="158"/>
      <c r="D22" s="158"/>
      <c r="E22" s="158"/>
      <c r="F22" s="158"/>
      <c r="G22" s="158"/>
      <c r="H22" s="158"/>
      <c r="I22" s="158"/>
      <c r="J22" s="158"/>
      <c r="K22" s="158"/>
      <c r="L22" s="158"/>
      <c r="M22" s="158"/>
    </row>
    <row r="23" spans="1:13" x14ac:dyDescent="0.3">
      <c r="A23" s="158"/>
      <c r="B23" s="158"/>
      <c r="C23" s="158"/>
      <c r="D23" s="158"/>
      <c r="E23" s="158"/>
      <c r="F23" s="158"/>
      <c r="G23" s="158"/>
      <c r="H23" s="158"/>
      <c r="I23" s="158"/>
      <c r="J23" s="158"/>
      <c r="K23" s="158"/>
      <c r="L23" s="158"/>
      <c r="M23" s="158"/>
    </row>
    <row r="24" spans="1:13" x14ac:dyDescent="0.3">
      <c r="A24" s="158"/>
      <c r="B24" s="158"/>
      <c r="C24" s="158"/>
      <c r="D24" s="158"/>
      <c r="E24" s="158"/>
      <c r="F24" s="158"/>
      <c r="G24" s="158"/>
      <c r="H24" s="158"/>
      <c r="I24" s="158"/>
      <c r="J24" s="158"/>
      <c r="K24" s="158"/>
      <c r="L24" s="158"/>
      <c r="M24" s="158"/>
    </row>
    <row r="25" spans="1:13" x14ac:dyDescent="0.3">
      <c r="A25" s="158"/>
      <c r="B25" s="158"/>
      <c r="C25" s="158"/>
      <c r="D25" s="158"/>
      <c r="E25" s="158"/>
      <c r="F25" s="158"/>
      <c r="G25" s="158"/>
      <c r="H25" s="158"/>
      <c r="I25" s="158"/>
      <c r="J25" s="158"/>
      <c r="K25" s="158"/>
      <c r="L25" s="158"/>
      <c r="M25" s="158"/>
    </row>
    <row r="26" spans="1:13" x14ac:dyDescent="0.3">
      <c r="A26" s="158"/>
      <c r="B26" s="158"/>
      <c r="C26" s="158"/>
      <c r="D26" s="158"/>
      <c r="E26" s="158"/>
      <c r="F26" s="158"/>
      <c r="G26" s="158"/>
      <c r="H26" s="158"/>
      <c r="I26" s="158"/>
      <c r="J26" s="158"/>
      <c r="K26" s="158"/>
      <c r="L26" s="158"/>
      <c r="M26" s="158"/>
    </row>
    <row r="27" spans="1:13" x14ac:dyDescent="0.3">
      <c r="A27" s="158"/>
      <c r="B27" s="158"/>
      <c r="C27" s="158"/>
      <c r="D27" s="158"/>
      <c r="E27" s="158"/>
      <c r="F27" s="158"/>
      <c r="G27" s="158"/>
      <c r="H27" s="158"/>
      <c r="I27" s="158"/>
      <c r="J27" s="158"/>
      <c r="K27" s="158"/>
      <c r="L27" s="158"/>
      <c r="M27" s="158"/>
    </row>
    <row r="28" spans="1:13" x14ac:dyDescent="0.3">
      <c r="A28" s="158"/>
      <c r="B28" s="158"/>
      <c r="C28" s="158"/>
      <c r="D28" s="158"/>
      <c r="E28" s="158"/>
      <c r="F28" s="158"/>
      <c r="G28" s="158"/>
      <c r="H28" s="158"/>
      <c r="I28" s="158"/>
      <c r="J28" s="158"/>
      <c r="K28" s="158"/>
      <c r="L28" s="158"/>
      <c r="M28" s="158"/>
    </row>
  </sheetData>
  <sheetProtection algorithmName="SHA-512" hashValue="5EzmOzz/qyhKrmkCGVSQRRLN7tzithZ/NcQ5fS+7vbAkRSr5Kp3fBjf8vjD/mVMK3IsjRkTGuulRXW84FuvGPw==" saltValue="ZvqFnPi6vKtMOynSy4bM9w==" spinCount="100000" sheet="1" objects="1" scenarios="1"/>
  <pageMargins left="0.31496062992125984" right="0.19685039370078741" top="0.27559055118110237" bottom="0.27559055118110237" header="0.19685039370078741" footer="0.15748031496062992"/>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81"/>
  <sheetViews>
    <sheetView showGridLines="0" topLeftCell="A63" workbookViewId="0">
      <selection activeCell="A69" sqref="A69"/>
    </sheetView>
  </sheetViews>
  <sheetFormatPr defaultColWidth="8.88671875" defaultRowHeight="14.4" x14ac:dyDescent="0.3"/>
  <cols>
    <col min="1" max="1" width="19.88671875" style="3" customWidth="1"/>
    <col min="2" max="2" width="23.33203125" style="4" customWidth="1"/>
    <col min="3" max="3" width="22.33203125" style="5" customWidth="1"/>
    <col min="4" max="4" width="15.6640625" style="6" customWidth="1"/>
    <col min="5" max="5" width="18.6640625" style="7" customWidth="1"/>
    <col min="6" max="6" width="11.109375" style="1" hidden="1" customWidth="1"/>
    <col min="7" max="7" width="9.33203125" style="1" customWidth="1"/>
    <col min="8" max="8" width="15" style="1" customWidth="1"/>
    <col min="9" max="9" width="20.33203125" style="1" customWidth="1"/>
    <col min="10" max="10" width="21.33203125" style="1" customWidth="1"/>
    <col min="11" max="11" width="8.88671875" style="1"/>
    <col min="12" max="12" width="6.33203125" style="1" customWidth="1"/>
    <col min="13" max="16384" width="8.88671875" style="1"/>
  </cols>
  <sheetData>
    <row r="1" spans="1:9" ht="25.95" customHeight="1" thickBot="1" x14ac:dyDescent="0.35">
      <c r="A1" s="277" t="s">
        <v>84</v>
      </c>
      <c r="B1" s="277"/>
      <c r="C1" s="277"/>
      <c r="D1" s="277"/>
      <c r="E1" s="277"/>
      <c r="F1" s="10">
        <v>10</v>
      </c>
    </row>
    <row r="2" spans="1:9" ht="31.95" customHeight="1" thickBot="1" x14ac:dyDescent="0.35">
      <c r="A2" s="278" t="s">
        <v>75</v>
      </c>
      <c r="B2" s="279"/>
      <c r="C2" s="279"/>
      <c r="D2" s="279"/>
      <c r="E2" s="280"/>
    </row>
    <row r="3" spans="1:9" ht="55.8" thickBot="1" x14ac:dyDescent="0.35">
      <c r="A3" s="22" t="s">
        <v>25</v>
      </c>
      <c r="B3" s="21" t="s">
        <v>115</v>
      </c>
      <c r="C3" s="197" t="s">
        <v>114</v>
      </c>
      <c r="D3" s="198" t="s">
        <v>55</v>
      </c>
      <c r="E3" s="9" t="s">
        <v>23</v>
      </c>
      <c r="F3" s="2"/>
    </row>
    <row r="4" spans="1:9" ht="11.4" customHeight="1" thickBot="1" x14ac:dyDescent="0.35">
      <c r="A4" s="249">
        <v>1</v>
      </c>
      <c r="B4" s="250">
        <v>2</v>
      </c>
      <c r="C4" s="251">
        <v>3</v>
      </c>
      <c r="D4" s="252">
        <v>4</v>
      </c>
      <c r="E4" s="252">
        <v>5</v>
      </c>
      <c r="F4" s="2"/>
    </row>
    <row r="5" spans="1:9" x14ac:dyDescent="0.3">
      <c r="A5" s="139">
        <v>1980</v>
      </c>
      <c r="B5" s="246"/>
      <c r="C5" s="247">
        <v>72480</v>
      </c>
      <c r="D5" s="200">
        <f>ROUND(B5/C5,4)</f>
        <v>0</v>
      </c>
      <c r="E5" s="248">
        <f t="shared" ref="E5:E42" si="0">D5</f>
        <v>0</v>
      </c>
      <c r="F5" s="134">
        <v>1</v>
      </c>
    </row>
    <row r="6" spans="1:9" x14ac:dyDescent="0.3">
      <c r="A6" s="140">
        <v>1981</v>
      </c>
      <c r="B6" s="144"/>
      <c r="C6" s="205">
        <v>92268</v>
      </c>
      <c r="D6" s="201">
        <f t="shared" ref="D6:D24" si="1">ROUND(B6/C6,4)</f>
        <v>0</v>
      </c>
      <c r="E6" s="203">
        <f t="shared" si="0"/>
        <v>0</v>
      </c>
      <c r="F6" s="134">
        <v>2</v>
      </c>
    </row>
    <row r="7" spans="1:9" x14ac:dyDescent="0.3">
      <c r="A7" s="140">
        <v>1982</v>
      </c>
      <c r="B7" s="144"/>
      <c r="C7" s="205">
        <v>139572</v>
      </c>
      <c r="D7" s="201">
        <f t="shared" si="1"/>
        <v>0</v>
      </c>
      <c r="E7" s="203">
        <f t="shared" si="0"/>
        <v>0</v>
      </c>
      <c r="F7" s="134">
        <v>3</v>
      </c>
    </row>
    <row r="8" spans="1:9" x14ac:dyDescent="0.3">
      <c r="A8" s="140">
        <v>1983</v>
      </c>
      <c r="B8" s="144"/>
      <c r="C8" s="205">
        <v>173700</v>
      </c>
      <c r="D8" s="201">
        <f t="shared" si="1"/>
        <v>0</v>
      </c>
      <c r="E8" s="203">
        <f t="shared" si="0"/>
        <v>0</v>
      </c>
      <c r="F8" s="134">
        <v>4</v>
      </c>
    </row>
    <row r="9" spans="1:9" x14ac:dyDescent="0.3">
      <c r="A9" s="140">
        <v>1984</v>
      </c>
      <c r="B9" s="144"/>
      <c r="C9" s="205">
        <v>202056</v>
      </c>
      <c r="D9" s="201">
        <f t="shared" si="1"/>
        <v>0</v>
      </c>
      <c r="E9" s="203">
        <f t="shared" si="0"/>
        <v>0</v>
      </c>
      <c r="F9" s="134">
        <v>5</v>
      </c>
    </row>
    <row r="10" spans="1:9" x14ac:dyDescent="0.3">
      <c r="A10" s="140">
        <v>1985</v>
      </c>
      <c r="B10" s="144"/>
      <c r="C10" s="205">
        <v>240060</v>
      </c>
      <c r="D10" s="201">
        <f t="shared" si="1"/>
        <v>0</v>
      </c>
      <c r="E10" s="203">
        <f t="shared" si="0"/>
        <v>0</v>
      </c>
      <c r="F10" s="134">
        <v>6</v>
      </c>
    </row>
    <row r="11" spans="1:9" x14ac:dyDescent="0.3">
      <c r="A11" s="140">
        <v>1986</v>
      </c>
      <c r="B11" s="144"/>
      <c r="C11" s="205">
        <v>289140</v>
      </c>
      <c r="D11" s="201">
        <f t="shared" si="1"/>
        <v>0</v>
      </c>
      <c r="E11" s="203">
        <f t="shared" si="0"/>
        <v>0</v>
      </c>
      <c r="F11" s="134">
        <v>7</v>
      </c>
    </row>
    <row r="12" spans="1:9" x14ac:dyDescent="0.3">
      <c r="A12" s="140">
        <v>1987</v>
      </c>
      <c r="B12" s="144"/>
      <c r="C12" s="205">
        <v>350208</v>
      </c>
      <c r="D12" s="201">
        <f t="shared" si="1"/>
        <v>0</v>
      </c>
      <c r="E12" s="203">
        <f t="shared" si="0"/>
        <v>0</v>
      </c>
      <c r="F12" s="134">
        <v>8</v>
      </c>
    </row>
    <row r="13" spans="1:9" ht="14.4" customHeight="1" thickBot="1" x14ac:dyDescent="0.35">
      <c r="A13" s="140">
        <v>1988</v>
      </c>
      <c r="B13" s="144"/>
      <c r="C13" s="205">
        <v>637080</v>
      </c>
      <c r="D13" s="201">
        <f t="shared" si="1"/>
        <v>0</v>
      </c>
      <c r="E13" s="203">
        <f t="shared" si="0"/>
        <v>0</v>
      </c>
      <c r="F13" s="134">
        <v>9</v>
      </c>
      <c r="H13" s="132"/>
      <c r="I13" s="133"/>
    </row>
    <row r="14" spans="1:9" x14ac:dyDescent="0.3">
      <c r="A14" s="140">
        <v>1989</v>
      </c>
      <c r="B14" s="144"/>
      <c r="C14" s="205">
        <v>2481096</v>
      </c>
      <c r="D14" s="201">
        <f t="shared" si="1"/>
        <v>0</v>
      </c>
      <c r="E14" s="203">
        <f t="shared" si="0"/>
        <v>0</v>
      </c>
      <c r="F14" s="135">
        <f>SUM(E5:E14)</f>
        <v>0</v>
      </c>
      <c r="H14" s="132"/>
      <c r="I14" s="133"/>
    </row>
    <row r="15" spans="1:9" ht="14.4" customHeight="1" x14ac:dyDescent="0.3">
      <c r="A15" s="140">
        <v>1990</v>
      </c>
      <c r="B15" s="144"/>
      <c r="C15" s="205">
        <v>12355644</v>
      </c>
      <c r="D15" s="201">
        <f t="shared" si="1"/>
        <v>0</v>
      </c>
      <c r="E15" s="203">
        <f t="shared" si="0"/>
        <v>0</v>
      </c>
      <c r="F15" s="136">
        <f t="shared" ref="F15:F42" si="2">SUM(E6:E15)</f>
        <v>0</v>
      </c>
      <c r="H15" s="132"/>
      <c r="I15" s="133"/>
    </row>
    <row r="16" spans="1:9" ht="14.4" customHeight="1" x14ac:dyDescent="0.3">
      <c r="A16" s="140">
        <v>1991</v>
      </c>
      <c r="B16" s="144"/>
      <c r="C16" s="205">
        <v>21240000</v>
      </c>
      <c r="D16" s="201">
        <f t="shared" si="1"/>
        <v>0</v>
      </c>
      <c r="E16" s="203">
        <f t="shared" si="0"/>
        <v>0</v>
      </c>
      <c r="F16" s="136">
        <f t="shared" si="2"/>
        <v>0</v>
      </c>
      <c r="H16" s="132"/>
      <c r="I16" s="133"/>
    </row>
    <row r="17" spans="1:9" x14ac:dyDescent="0.3">
      <c r="A17" s="140">
        <v>1992</v>
      </c>
      <c r="B17" s="144"/>
      <c r="C17" s="205">
        <v>35220000</v>
      </c>
      <c r="D17" s="201">
        <f t="shared" si="1"/>
        <v>0</v>
      </c>
      <c r="E17" s="203">
        <f t="shared" si="0"/>
        <v>0</v>
      </c>
      <c r="F17" s="136">
        <f t="shared" si="2"/>
        <v>0</v>
      </c>
      <c r="H17" s="132"/>
      <c r="I17" s="133"/>
    </row>
    <row r="18" spans="1:9" x14ac:dyDescent="0.3">
      <c r="A18" s="140">
        <v>1993</v>
      </c>
      <c r="B18" s="144"/>
      <c r="C18" s="205">
        <v>47940000</v>
      </c>
      <c r="D18" s="201">
        <f t="shared" si="1"/>
        <v>0</v>
      </c>
      <c r="E18" s="203">
        <f t="shared" si="0"/>
        <v>0</v>
      </c>
      <c r="F18" s="136">
        <f t="shared" si="2"/>
        <v>0</v>
      </c>
      <c r="H18" s="132"/>
      <c r="I18" s="133"/>
    </row>
    <row r="19" spans="1:9" x14ac:dyDescent="0.3">
      <c r="A19" s="140">
        <v>1994</v>
      </c>
      <c r="B19" s="144"/>
      <c r="C19" s="205">
        <v>63936000</v>
      </c>
      <c r="D19" s="201">
        <f t="shared" si="1"/>
        <v>0</v>
      </c>
      <c r="E19" s="203">
        <f t="shared" si="0"/>
        <v>0</v>
      </c>
      <c r="F19" s="136">
        <f t="shared" si="2"/>
        <v>0</v>
      </c>
      <c r="H19" s="132"/>
      <c r="I19" s="133"/>
    </row>
    <row r="20" spans="1:9" x14ac:dyDescent="0.3">
      <c r="A20" s="140">
        <v>1995</v>
      </c>
      <c r="B20" s="144"/>
      <c r="C20" s="206">
        <v>8431.44</v>
      </c>
      <c r="D20" s="201">
        <f t="shared" si="1"/>
        <v>0</v>
      </c>
      <c r="E20" s="203">
        <f t="shared" si="0"/>
        <v>0</v>
      </c>
      <c r="F20" s="136">
        <f t="shared" si="2"/>
        <v>0</v>
      </c>
      <c r="H20" s="132"/>
      <c r="I20" s="133"/>
    </row>
    <row r="21" spans="1:9" x14ac:dyDescent="0.3">
      <c r="A21" s="140">
        <v>1996</v>
      </c>
      <c r="B21" s="144"/>
      <c r="C21" s="206">
        <v>10476</v>
      </c>
      <c r="D21" s="201">
        <f t="shared" si="1"/>
        <v>0</v>
      </c>
      <c r="E21" s="203">
        <f t="shared" si="0"/>
        <v>0</v>
      </c>
      <c r="F21" s="136">
        <f t="shared" si="2"/>
        <v>0</v>
      </c>
      <c r="H21" s="132"/>
      <c r="I21" s="133"/>
    </row>
    <row r="22" spans="1:9" x14ac:dyDescent="0.3">
      <c r="A22" s="140">
        <v>1997</v>
      </c>
      <c r="B22" s="144"/>
      <c r="C22" s="206">
        <v>12743.16</v>
      </c>
      <c r="D22" s="201">
        <f t="shared" si="1"/>
        <v>0</v>
      </c>
      <c r="E22" s="203">
        <f t="shared" si="0"/>
        <v>0</v>
      </c>
      <c r="F22" s="136">
        <f t="shared" si="2"/>
        <v>0</v>
      </c>
      <c r="H22" s="132"/>
      <c r="I22" s="133"/>
    </row>
    <row r="23" spans="1:9" x14ac:dyDescent="0.3">
      <c r="A23" s="140">
        <v>1998</v>
      </c>
      <c r="B23" s="144"/>
      <c r="C23" s="206">
        <v>14873.88</v>
      </c>
      <c r="D23" s="201">
        <f t="shared" si="1"/>
        <v>0</v>
      </c>
      <c r="E23" s="203">
        <f t="shared" si="0"/>
        <v>0</v>
      </c>
      <c r="F23" s="136">
        <f t="shared" si="2"/>
        <v>0</v>
      </c>
      <c r="H23" s="132"/>
      <c r="I23" s="133"/>
    </row>
    <row r="24" spans="1:9" x14ac:dyDescent="0.3">
      <c r="A24" s="140">
        <v>1999</v>
      </c>
      <c r="B24" s="144"/>
      <c r="C24" s="206">
        <v>20480.88</v>
      </c>
      <c r="D24" s="201">
        <f t="shared" si="1"/>
        <v>0</v>
      </c>
      <c r="E24" s="203">
        <f t="shared" si="0"/>
        <v>0</v>
      </c>
      <c r="F24" s="136">
        <f t="shared" si="2"/>
        <v>0</v>
      </c>
      <c r="H24" s="132"/>
      <c r="I24" s="133"/>
    </row>
    <row r="25" spans="1:9" x14ac:dyDescent="0.3">
      <c r="A25" s="141">
        <v>2000</v>
      </c>
      <c r="B25" s="144"/>
      <c r="C25" s="206">
        <v>23085.72</v>
      </c>
      <c r="D25" s="201">
        <f>ROUND(B25/C25,4)</f>
        <v>0</v>
      </c>
      <c r="E25" s="203">
        <f t="shared" si="0"/>
        <v>0</v>
      </c>
      <c r="F25" s="136">
        <f t="shared" si="2"/>
        <v>0</v>
      </c>
      <c r="H25" s="132"/>
      <c r="I25" s="133"/>
    </row>
    <row r="26" spans="1:9" x14ac:dyDescent="0.3">
      <c r="A26" s="141">
        <v>2001</v>
      </c>
      <c r="B26" s="144"/>
      <c r="C26" s="206">
        <v>24742.2</v>
      </c>
      <c r="D26" s="201">
        <f t="shared" ref="D26:D48" si="3">ROUND(B26/C26,4)</f>
        <v>0</v>
      </c>
      <c r="E26" s="203">
        <f t="shared" si="0"/>
        <v>0</v>
      </c>
      <c r="F26" s="136">
        <f t="shared" si="2"/>
        <v>0</v>
      </c>
      <c r="H26" s="132"/>
      <c r="I26" s="133"/>
    </row>
    <row r="27" spans="1:9" ht="14.4" customHeight="1" x14ac:dyDescent="0.3">
      <c r="A27" s="141">
        <v>2002</v>
      </c>
      <c r="B27" s="144"/>
      <c r="C27" s="206">
        <v>25598.52</v>
      </c>
      <c r="D27" s="201">
        <f t="shared" si="3"/>
        <v>0</v>
      </c>
      <c r="E27" s="203">
        <f t="shared" si="0"/>
        <v>0</v>
      </c>
      <c r="F27" s="136">
        <f t="shared" si="2"/>
        <v>0</v>
      </c>
      <c r="H27" s="132"/>
      <c r="I27" s="133"/>
    </row>
    <row r="28" spans="1:9" x14ac:dyDescent="0.3">
      <c r="A28" s="141">
        <v>2003</v>
      </c>
      <c r="B28" s="144"/>
      <c r="C28" s="206">
        <v>26417.64</v>
      </c>
      <c r="D28" s="201">
        <f t="shared" si="3"/>
        <v>0</v>
      </c>
      <c r="E28" s="203">
        <f t="shared" si="0"/>
        <v>0</v>
      </c>
      <c r="F28" s="136">
        <f t="shared" si="2"/>
        <v>0</v>
      </c>
      <c r="H28" s="132"/>
      <c r="I28" s="133"/>
    </row>
    <row r="29" spans="1:9" ht="16.2" customHeight="1" x14ac:dyDescent="0.3">
      <c r="A29" s="141">
        <v>2004</v>
      </c>
      <c r="B29" s="144"/>
      <c r="C29" s="206">
        <v>27474.84</v>
      </c>
      <c r="D29" s="201">
        <f t="shared" si="3"/>
        <v>0</v>
      </c>
      <c r="E29" s="203">
        <f t="shared" si="0"/>
        <v>0</v>
      </c>
      <c r="F29" s="136">
        <f t="shared" si="2"/>
        <v>0</v>
      </c>
      <c r="H29" s="132"/>
      <c r="I29" s="133"/>
    </row>
    <row r="30" spans="1:9" ht="16.2" customHeight="1" x14ac:dyDescent="0.3">
      <c r="A30" s="141">
        <v>2005</v>
      </c>
      <c r="B30" s="144"/>
      <c r="C30" s="206">
        <v>28563.48</v>
      </c>
      <c r="D30" s="201">
        <f t="shared" si="3"/>
        <v>0</v>
      </c>
      <c r="E30" s="203">
        <f t="shared" si="0"/>
        <v>0</v>
      </c>
      <c r="F30" s="136">
        <f t="shared" si="2"/>
        <v>0</v>
      </c>
      <c r="H30" s="132"/>
      <c r="I30" s="133"/>
    </row>
    <row r="31" spans="1:9" x14ac:dyDescent="0.3">
      <c r="A31" s="141">
        <v>2006</v>
      </c>
      <c r="B31" s="144"/>
      <c r="C31" s="206">
        <v>29726.76</v>
      </c>
      <c r="D31" s="201">
        <f t="shared" si="3"/>
        <v>0</v>
      </c>
      <c r="E31" s="203">
        <f t="shared" si="0"/>
        <v>0</v>
      </c>
      <c r="F31" s="136">
        <f t="shared" si="2"/>
        <v>0</v>
      </c>
      <c r="H31" s="132"/>
      <c r="I31" s="133"/>
    </row>
    <row r="32" spans="1:9" x14ac:dyDescent="0.3">
      <c r="A32" s="141">
        <v>2007</v>
      </c>
      <c r="B32" s="144"/>
      <c r="C32" s="206">
        <v>32292.36</v>
      </c>
      <c r="D32" s="201">
        <f t="shared" si="3"/>
        <v>0</v>
      </c>
      <c r="E32" s="203">
        <f t="shared" si="0"/>
        <v>0</v>
      </c>
      <c r="F32" s="136">
        <f t="shared" si="2"/>
        <v>0</v>
      </c>
      <c r="H32" s="132"/>
    </row>
    <row r="33" spans="1:10" ht="16.2" customHeight="1" thickBot="1" x14ac:dyDescent="0.35">
      <c r="A33" s="141">
        <v>2008</v>
      </c>
      <c r="B33" s="144"/>
      <c r="C33" s="206">
        <v>35326.559999999998</v>
      </c>
      <c r="D33" s="201">
        <f t="shared" si="3"/>
        <v>0</v>
      </c>
      <c r="E33" s="203">
        <f t="shared" si="0"/>
        <v>0</v>
      </c>
      <c r="F33" s="136">
        <f t="shared" si="2"/>
        <v>0</v>
      </c>
      <c r="H33" s="132"/>
    </row>
    <row r="34" spans="1:10" x14ac:dyDescent="0.3">
      <c r="A34" s="141">
        <v>2009</v>
      </c>
      <c r="B34" s="144"/>
      <c r="C34" s="206">
        <v>37235.519999999997</v>
      </c>
      <c r="D34" s="201">
        <f t="shared" si="3"/>
        <v>0</v>
      </c>
      <c r="E34" s="203">
        <f t="shared" si="0"/>
        <v>0</v>
      </c>
      <c r="F34" s="136">
        <f t="shared" si="2"/>
        <v>0</v>
      </c>
      <c r="H34" s="270" t="s">
        <v>66</v>
      </c>
      <c r="I34" s="271"/>
    </row>
    <row r="35" spans="1:10" ht="14.4" customHeight="1" thickBot="1" x14ac:dyDescent="0.35">
      <c r="A35" s="141">
        <v>2010</v>
      </c>
      <c r="B35" s="144"/>
      <c r="C35" s="206">
        <v>38699.760000000002</v>
      </c>
      <c r="D35" s="201">
        <f t="shared" si="3"/>
        <v>0</v>
      </c>
      <c r="E35" s="203">
        <f t="shared" si="0"/>
        <v>0</v>
      </c>
      <c r="F35" s="136">
        <f t="shared" si="2"/>
        <v>0</v>
      </c>
      <c r="H35" s="272"/>
      <c r="I35" s="273"/>
    </row>
    <row r="36" spans="1:10" ht="14.4" customHeight="1" x14ac:dyDescent="0.3">
      <c r="A36" s="141">
        <v>2011</v>
      </c>
      <c r="B36" s="144"/>
      <c r="C36" s="206">
        <v>40794.239999999998</v>
      </c>
      <c r="D36" s="201">
        <f t="shared" si="3"/>
        <v>0</v>
      </c>
      <c r="E36" s="203">
        <f t="shared" si="0"/>
        <v>0</v>
      </c>
      <c r="F36" s="136">
        <f t="shared" si="2"/>
        <v>0</v>
      </c>
      <c r="H36" s="309" t="s">
        <v>30</v>
      </c>
      <c r="I36" s="311" t="s">
        <v>85</v>
      </c>
    </row>
    <row r="37" spans="1:10" x14ac:dyDescent="0.3">
      <c r="A37" s="141">
        <v>2012</v>
      </c>
      <c r="B37" s="144"/>
      <c r="C37" s="206">
        <v>42260.04</v>
      </c>
      <c r="D37" s="201">
        <f t="shared" si="3"/>
        <v>0</v>
      </c>
      <c r="E37" s="203">
        <f t="shared" si="0"/>
        <v>0</v>
      </c>
      <c r="F37" s="136">
        <f t="shared" si="2"/>
        <v>0</v>
      </c>
      <c r="H37" s="310"/>
      <c r="I37" s="312"/>
    </row>
    <row r="38" spans="1:10" ht="14.4" customHeight="1" x14ac:dyDescent="0.3">
      <c r="A38" s="141">
        <v>2013</v>
      </c>
      <c r="B38" s="144"/>
      <c r="C38" s="206">
        <v>43800.72</v>
      </c>
      <c r="D38" s="201">
        <f t="shared" si="3"/>
        <v>0</v>
      </c>
      <c r="E38" s="203">
        <f t="shared" si="0"/>
        <v>0</v>
      </c>
      <c r="F38" s="136">
        <f t="shared" si="2"/>
        <v>0</v>
      </c>
      <c r="H38" s="310"/>
      <c r="I38" s="312"/>
    </row>
    <row r="39" spans="1:10" ht="15" thickBot="1" x14ac:dyDescent="0.35">
      <c r="A39" s="141">
        <v>2014</v>
      </c>
      <c r="B39" s="144"/>
      <c r="C39" s="206">
        <v>45401.52</v>
      </c>
      <c r="D39" s="201">
        <f t="shared" si="3"/>
        <v>0</v>
      </c>
      <c r="E39" s="203">
        <f t="shared" si="0"/>
        <v>0</v>
      </c>
      <c r="F39" s="136">
        <f t="shared" si="2"/>
        <v>0</v>
      </c>
      <c r="H39" s="310"/>
      <c r="I39" s="312"/>
    </row>
    <row r="40" spans="1:10" ht="14.7" customHeight="1" x14ac:dyDescent="0.3">
      <c r="A40" s="141">
        <v>2015</v>
      </c>
      <c r="B40" s="144"/>
      <c r="C40" s="206">
        <v>46797.36</v>
      </c>
      <c r="D40" s="201">
        <f t="shared" si="3"/>
        <v>0</v>
      </c>
      <c r="E40" s="203">
        <f t="shared" si="0"/>
        <v>0</v>
      </c>
      <c r="F40" s="136">
        <f t="shared" si="2"/>
        <v>0</v>
      </c>
      <c r="H40" s="211">
        <v>43240</v>
      </c>
      <c r="I40" s="214">
        <v>5956.06</v>
      </c>
    </row>
    <row r="41" spans="1:10" ht="14.7" customHeight="1" x14ac:dyDescent="0.3">
      <c r="A41" s="141">
        <v>2016</v>
      </c>
      <c r="B41" s="241"/>
      <c r="C41" s="206">
        <v>48566.52</v>
      </c>
      <c r="D41" s="201">
        <f t="shared" si="3"/>
        <v>0</v>
      </c>
      <c r="E41" s="203">
        <f t="shared" si="0"/>
        <v>0</v>
      </c>
      <c r="F41" s="136">
        <f t="shared" si="2"/>
        <v>0</v>
      </c>
      <c r="H41" s="212">
        <v>43466</v>
      </c>
      <c r="I41" s="215">
        <v>5956.06</v>
      </c>
    </row>
    <row r="42" spans="1:10" ht="14.7" customHeight="1" thickBot="1" x14ac:dyDescent="0.35">
      <c r="A42" s="142">
        <v>2017</v>
      </c>
      <c r="B42" s="241"/>
      <c r="C42" s="207">
        <v>51258.12</v>
      </c>
      <c r="D42" s="202">
        <f t="shared" si="3"/>
        <v>0</v>
      </c>
      <c r="E42" s="204">
        <f t="shared" si="0"/>
        <v>0</v>
      </c>
      <c r="F42" s="137">
        <f t="shared" si="2"/>
        <v>0</v>
      </c>
      <c r="H42" s="212">
        <v>43831</v>
      </c>
      <c r="I42" s="215">
        <v>6313.44</v>
      </c>
    </row>
    <row r="43" spans="1:10" ht="14.7" customHeight="1" thickBot="1" x14ac:dyDescent="0.35">
      <c r="A43" s="220" t="s">
        <v>77</v>
      </c>
      <c r="B43" s="143"/>
      <c r="C43" s="208">
        <v>21150.3</v>
      </c>
      <c r="D43" s="199">
        <f>ROUND(B43/C43,4)</f>
        <v>0</v>
      </c>
      <c r="E43" s="322">
        <f>ROUND(((4+19/31)/12*D43+(7+12/31)/12*D44),4)</f>
        <v>0</v>
      </c>
      <c r="F43" s="324">
        <f>SUM(E34:E44)</f>
        <v>0</v>
      </c>
      <c r="H43" s="212">
        <v>44197</v>
      </c>
      <c r="I43" s="215">
        <v>6313.44</v>
      </c>
    </row>
    <row r="44" spans="1:10" ht="14.7" customHeight="1" thickBot="1" x14ac:dyDescent="0.35">
      <c r="A44" s="221" t="s">
        <v>76</v>
      </c>
      <c r="B44" s="243"/>
      <c r="C44" s="219">
        <v>43997.99</v>
      </c>
      <c r="D44" s="202">
        <f>ROUND(B44/C44,4)</f>
        <v>0</v>
      </c>
      <c r="E44" s="323"/>
      <c r="F44" s="325"/>
      <c r="H44" s="212">
        <v>44562</v>
      </c>
      <c r="I44" s="215">
        <v>6313.44</v>
      </c>
    </row>
    <row r="45" spans="1:10" ht="14.7" customHeight="1" x14ac:dyDescent="0.3">
      <c r="A45" s="222">
        <v>2019</v>
      </c>
      <c r="B45" s="244"/>
      <c r="C45" s="225">
        <v>71472.72</v>
      </c>
      <c r="D45" s="231">
        <f t="shared" si="3"/>
        <v>0</v>
      </c>
      <c r="E45" s="228">
        <f t="shared" ref="E45:E49" si="4">D45</f>
        <v>0</v>
      </c>
      <c r="F45" s="216">
        <f>SUM(E35:E45)</f>
        <v>0</v>
      </c>
      <c r="H45" s="212">
        <v>44927</v>
      </c>
      <c r="I45" s="215">
        <v>6313.44</v>
      </c>
    </row>
    <row r="46" spans="1:10" ht="14.7" customHeight="1" x14ac:dyDescent="0.3">
      <c r="A46" s="223">
        <v>2020</v>
      </c>
      <c r="B46" s="242"/>
      <c r="C46" s="226">
        <v>75761.279999999999</v>
      </c>
      <c r="D46" s="232">
        <f t="shared" si="3"/>
        <v>0</v>
      </c>
      <c r="E46" s="229">
        <f t="shared" si="4"/>
        <v>0</v>
      </c>
      <c r="F46" s="217">
        <f t="shared" ref="F46:F51" si="5">SUM(E36:E46)</f>
        <v>0</v>
      </c>
      <c r="H46" s="212">
        <v>44986</v>
      </c>
      <c r="I46" s="215">
        <v>6805.9</v>
      </c>
    </row>
    <row r="47" spans="1:10" ht="14.7" customHeight="1" x14ac:dyDescent="0.3">
      <c r="A47" s="223">
        <v>2021</v>
      </c>
      <c r="B47" s="242"/>
      <c r="C47" s="226">
        <v>75761.279999999999</v>
      </c>
      <c r="D47" s="232">
        <f t="shared" si="3"/>
        <v>0</v>
      </c>
      <c r="E47" s="229">
        <f t="shared" si="4"/>
        <v>0</v>
      </c>
      <c r="F47" s="217">
        <f t="shared" si="5"/>
        <v>0</v>
      </c>
      <c r="H47" s="212">
        <v>45292</v>
      </c>
      <c r="I47" s="215">
        <v>8167.09</v>
      </c>
      <c r="J47" s="145"/>
    </row>
    <row r="48" spans="1:10" ht="14.7" customHeight="1" x14ac:dyDescent="0.3">
      <c r="A48" s="223">
        <v>2022</v>
      </c>
      <c r="B48" s="242"/>
      <c r="C48" s="226">
        <v>75761.279999999999</v>
      </c>
      <c r="D48" s="232">
        <f t="shared" si="3"/>
        <v>0</v>
      </c>
      <c r="E48" s="229">
        <f t="shared" si="4"/>
        <v>0</v>
      </c>
      <c r="F48" s="217">
        <f t="shared" si="5"/>
        <v>0</v>
      </c>
      <c r="H48" s="212">
        <v>45658</v>
      </c>
      <c r="I48" s="215">
        <v>8575.4500000000007</v>
      </c>
    </row>
    <row r="49" spans="1:9" ht="14.4" customHeight="1" thickBot="1" x14ac:dyDescent="0.35">
      <c r="A49" s="223">
        <v>2023</v>
      </c>
      <c r="B49" s="242"/>
      <c r="C49" s="226">
        <v>80685.88</v>
      </c>
      <c r="D49" s="232">
        <f t="shared" ref="D49" si="6">ROUND(B49/C49,4)</f>
        <v>0</v>
      </c>
      <c r="E49" s="229">
        <f t="shared" si="4"/>
        <v>0</v>
      </c>
      <c r="F49" s="218">
        <f t="shared" si="5"/>
        <v>0</v>
      </c>
      <c r="H49" s="213">
        <v>46023</v>
      </c>
      <c r="I49" s="209">
        <v>8832.73</v>
      </c>
    </row>
    <row r="50" spans="1:9" ht="14.4" customHeight="1" x14ac:dyDescent="0.3">
      <c r="A50" s="223">
        <v>2024</v>
      </c>
      <c r="B50" s="242"/>
      <c r="C50" s="226">
        <v>98005.08</v>
      </c>
      <c r="D50" s="232">
        <f t="shared" ref="D50" si="7">ROUND(B50/C50,4)</f>
        <v>0</v>
      </c>
      <c r="E50" s="229">
        <f t="shared" ref="E50" si="8">D50</f>
        <v>0</v>
      </c>
      <c r="F50" s="218">
        <f t="shared" si="5"/>
        <v>0</v>
      </c>
    </row>
    <row r="51" spans="1:9" ht="14.4" customHeight="1" thickBot="1" x14ac:dyDescent="0.35">
      <c r="A51" s="224">
        <v>2025</v>
      </c>
      <c r="B51" s="245"/>
      <c r="C51" s="227">
        <v>102905.4</v>
      </c>
      <c r="D51" s="233">
        <f t="shared" ref="D51" si="9">ROUND(B51/C51,4)</f>
        <v>0</v>
      </c>
      <c r="E51" s="230">
        <f t="shared" ref="E51" si="10">D51</f>
        <v>0</v>
      </c>
      <c r="F51" s="218">
        <f t="shared" si="5"/>
        <v>0</v>
      </c>
    </row>
    <row r="52" spans="1:9" ht="23.4" customHeight="1" thickBot="1" x14ac:dyDescent="0.35">
      <c r="A52" s="319" t="s">
        <v>117</v>
      </c>
      <c r="B52" s="320"/>
      <c r="C52" s="320"/>
      <c r="D52" s="321"/>
      <c r="E52" s="253">
        <f>MAX($F$14:$F$51)</f>
        <v>0</v>
      </c>
      <c r="F52" s="138">
        <f>MAX($F$14:$F$51)</f>
        <v>0</v>
      </c>
    </row>
    <row r="53" spans="1:9" ht="19.95" customHeight="1" thickBot="1" x14ac:dyDescent="0.35">
      <c r="A53" s="313" t="s">
        <v>116</v>
      </c>
      <c r="B53" s="314"/>
      <c r="C53" s="314"/>
      <c r="D53" s="315"/>
      <c r="E53" s="210">
        <f>ROUND(E52/10,4)</f>
        <v>0</v>
      </c>
      <c r="F53" s="240"/>
    </row>
    <row r="54" spans="1:9" ht="19.95" customHeight="1" x14ac:dyDescent="0.3">
      <c r="A54" s="326" t="s">
        <v>120</v>
      </c>
      <c r="B54" s="326"/>
      <c r="C54" s="326"/>
      <c r="D54" s="326"/>
      <c r="E54" s="326"/>
      <c r="F54" s="326"/>
    </row>
    <row r="55" spans="1:9" ht="15" thickBot="1" x14ac:dyDescent="0.35">
      <c r="A55" s="1"/>
      <c r="B55" s="1"/>
      <c r="C55" s="1"/>
      <c r="D55" s="1"/>
      <c r="E55" s="1"/>
    </row>
    <row r="56" spans="1:9" ht="29.4" customHeight="1" thickBot="1" x14ac:dyDescent="0.35">
      <c r="A56" s="281" t="s">
        <v>79</v>
      </c>
      <c r="B56" s="282"/>
      <c r="C56" s="282"/>
      <c r="D56" s="283"/>
      <c r="E56" s="25"/>
    </row>
    <row r="57" spans="1:9" ht="16.2" thickBot="1" x14ac:dyDescent="0.35">
      <c r="A57" s="26"/>
      <c r="B57" s="26"/>
      <c r="C57" s="26"/>
      <c r="D57" s="26"/>
      <c r="E57" s="27"/>
    </row>
    <row r="58" spans="1:9" ht="14.4" customHeight="1" x14ac:dyDescent="0.3">
      <c r="A58" s="284" t="s">
        <v>80</v>
      </c>
      <c r="B58" s="285"/>
      <c r="C58" s="285"/>
      <c r="D58" s="286"/>
      <c r="E58" s="290">
        <f>IF(E56&gt;0%, E56,E53)</f>
        <v>0</v>
      </c>
    </row>
    <row r="59" spans="1:9" ht="27" customHeight="1" thickBot="1" x14ac:dyDescent="0.35">
      <c r="A59" s="287"/>
      <c r="B59" s="288"/>
      <c r="C59" s="288"/>
      <c r="D59" s="289"/>
      <c r="E59" s="291"/>
    </row>
    <row r="60" spans="1:9" ht="23.4" customHeight="1" x14ac:dyDescent="0.3">
      <c r="A60" s="275" t="s">
        <v>125</v>
      </c>
      <c r="B60" s="275"/>
      <c r="C60" s="275"/>
      <c r="D60" s="275"/>
      <c r="E60" s="275"/>
    </row>
    <row r="61" spans="1:9" ht="22.95" customHeight="1" x14ac:dyDescent="0.3">
      <c r="A61" s="276"/>
      <c r="B61" s="276"/>
      <c r="C61" s="276"/>
      <c r="D61" s="276"/>
      <c r="E61" s="276"/>
    </row>
    <row r="62" spans="1:9" ht="22.95" customHeight="1" x14ac:dyDescent="0.3">
      <c r="A62" s="276"/>
      <c r="B62" s="276"/>
      <c r="C62" s="276"/>
      <c r="D62" s="276"/>
      <c r="E62" s="276"/>
    </row>
    <row r="63" spans="1:9" ht="15.6" x14ac:dyDescent="0.3">
      <c r="A63" s="28"/>
      <c r="B63" s="28"/>
      <c r="C63" s="28"/>
      <c r="D63" s="28"/>
      <c r="E63" s="29"/>
    </row>
    <row r="64" spans="1:9" ht="14.4" customHeight="1" x14ac:dyDescent="0.3">
      <c r="A64" s="296" t="s">
        <v>87</v>
      </c>
      <c r="B64" s="296"/>
      <c r="C64" s="296"/>
      <c r="D64" s="296"/>
      <c r="E64" s="296"/>
    </row>
    <row r="65" spans="1:5" ht="21.6" customHeight="1" thickBot="1" x14ac:dyDescent="0.35">
      <c r="A65" s="297"/>
      <c r="B65" s="297"/>
      <c r="C65" s="297"/>
      <c r="D65" s="297"/>
      <c r="E65" s="297"/>
    </row>
    <row r="66" spans="1:5" ht="24.6" customHeight="1" thickBot="1" x14ac:dyDescent="0.35">
      <c r="A66" s="327" t="s">
        <v>65</v>
      </c>
      <c r="B66" s="328"/>
      <c r="C66" s="328"/>
      <c r="D66" s="328"/>
      <c r="E66" s="329"/>
    </row>
    <row r="67" spans="1:5" ht="33.6" customHeight="1" x14ac:dyDescent="0.3">
      <c r="A67" s="301" t="s">
        <v>108</v>
      </c>
      <c r="B67" s="305" t="s">
        <v>91</v>
      </c>
      <c r="C67" s="306"/>
      <c r="D67" s="303" t="s">
        <v>86</v>
      </c>
      <c r="E67" s="304"/>
    </row>
    <row r="68" spans="1:5" ht="64.95" customHeight="1" thickBot="1" x14ac:dyDescent="0.35">
      <c r="A68" s="302"/>
      <c r="B68" s="307"/>
      <c r="C68" s="308"/>
      <c r="D68" s="303"/>
      <c r="E68" s="304"/>
    </row>
    <row r="69" spans="1:5" ht="26.4" customHeight="1" thickBot="1" x14ac:dyDescent="0.35">
      <c r="A69" s="193"/>
      <c r="B69" s="316">
        <f>IF($A$69="",0,LOOKUP($A$69,$H$40:$H$49,$I$40:$I$49))</f>
        <v>0</v>
      </c>
      <c r="C69" s="317"/>
      <c r="D69" s="292">
        <f>E58</f>
        <v>0</v>
      </c>
      <c r="E69" s="293"/>
    </row>
    <row r="70" spans="1:5" ht="36.6" customHeight="1" thickBot="1" x14ac:dyDescent="0.35">
      <c r="A70" s="298" t="s">
        <v>113</v>
      </c>
      <c r="B70" s="299"/>
      <c r="C70" s="300"/>
      <c r="D70" s="294">
        <f>ROUND(B69*D69,2)</f>
        <v>0</v>
      </c>
      <c r="E70" s="295"/>
    </row>
    <row r="71" spans="1:5" x14ac:dyDescent="0.3">
      <c r="A71" s="30"/>
      <c r="B71" s="30"/>
      <c r="C71" s="31"/>
      <c r="D71" s="32"/>
    </row>
    <row r="72" spans="1:5" x14ac:dyDescent="0.3">
      <c r="A72" s="318" t="s">
        <v>123</v>
      </c>
      <c r="B72" s="318"/>
      <c r="C72" s="318"/>
      <c r="D72" s="318"/>
      <c r="E72" s="318"/>
    </row>
    <row r="73" spans="1:5" ht="8.4" customHeight="1" x14ac:dyDescent="0.3">
      <c r="A73" s="318"/>
      <c r="B73" s="318"/>
      <c r="C73" s="318"/>
      <c r="D73" s="318"/>
      <c r="E73" s="318"/>
    </row>
    <row r="74" spans="1:5" ht="15.6" customHeight="1" x14ac:dyDescent="0.3">
      <c r="A74" s="318"/>
      <c r="B74" s="318"/>
      <c r="C74" s="318"/>
      <c r="D74" s="318"/>
      <c r="E74" s="318"/>
    </row>
    <row r="75" spans="1:5" ht="22.95" customHeight="1" x14ac:dyDescent="0.3">
      <c r="A75" s="318"/>
      <c r="B75" s="318"/>
      <c r="C75" s="318"/>
      <c r="D75" s="318"/>
      <c r="E75" s="318"/>
    </row>
    <row r="76" spans="1:5" ht="14.4" customHeight="1" x14ac:dyDescent="0.3"/>
    <row r="77" spans="1:5" ht="14.4" customHeight="1" x14ac:dyDescent="0.3">
      <c r="A77" s="274" t="s">
        <v>61</v>
      </c>
      <c r="B77" s="274"/>
      <c r="C77" s="274"/>
      <c r="D77" s="274"/>
      <c r="E77" s="274"/>
    </row>
    <row r="78" spans="1:5" ht="14.4" customHeight="1" x14ac:dyDescent="0.3">
      <c r="A78" s="274"/>
      <c r="B78" s="274"/>
      <c r="C78" s="274"/>
      <c r="D78" s="274"/>
      <c r="E78" s="274"/>
    </row>
    <row r="79" spans="1:5" ht="14.4" customHeight="1" x14ac:dyDescent="0.3">
      <c r="A79" s="274"/>
      <c r="B79" s="274"/>
      <c r="C79" s="274"/>
      <c r="D79" s="274"/>
      <c r="E79" s="274"/>
    </row>
    <row r="80" spans="1:5" x14ac:dyDescent="0.3">
      <c r="A80" s="274"/>
      <c r="B80" s="274"/>
      <c r="C80" s="274"/>
      <c r="D80" s="274"/>
      <c r="E80" s="274"/>
    </row>
    <row r="81" spans="1:5" x14ac:dyDescent="0.3">
      <c r="A81" s="274"/>
      <c r="B81" s="274"/>
      <c r="C81" s="274"/>
      <c r="D81" s="274"/>
      <c r="E81" s="274"/>
    </row>
  </sheetData>
  <sheetProtection algorithmName="SHA-512" hashValue="ilhDVo3zg33vbRS7x7wGa2v4/boijw+gxVJYw1AVOP0HKLS0c50JxriGKcy/xStRto/wZsaxzEMRtMlUsO5JWQ==" saltValue="7okyMOC8uA6FD6BDC1DaSA==" spinCount="100000" sheet="1" objects="1" scenarios="1"/>
  <mergeCells count="25">
    <mergeCell ref="I36:I39"/>
    <mergeCell ref="A53:D53"/>
    <mergeCell ref="B69:C69"/>
    <mergeCell ref="A72:E75"/>
    <mergeCell ref="A52:D52"/>
    <mergeCell ref="E43:E44"/>
    <mergeCell ref="F43:F44"/>
    <mergeCell ref="A54:F54"/>
    <mergeCell ref="A66:E66"/>
    <mergeCell ref="H34:I35"/>
    <mergeCell ref="A77:E81"/>
    <mergeCell ref="A60:E62"/>
    <mergeCell ref="A1:E1"/>
    <mergeCell ref="A2:E2"/>
    <mergeCell ref="A56:D56"/>
    <mergeCell ref="A58:D59"/>
    <mergeCell ref="E58:E59"/>
    <mergeCell ref="D69:E69"/>
    <mergeCell ref="D70:E70"/>
    <mergeCell ref="A64:E65"/>
    <mergeCell ref="A70:C70"/>
    <mergeCell ref="A67:A68"/>
    <mergeCell ref="D67:E68"/>
    <mergeCell ref="B67:C68"/>
    <mergeCell ref="H36:H39"/>
  </mergeCells>
  <conditionalFormatting sqref="E5:E14">
    <cfRule type="expression" dxfId="39" priority="3">
      <formula>$F$14=$E$52</formula>
    </cfRule>
  </conditionalFormatting>
  <conditionalFormatting sqref="E6:E15">
    <cfRule type="expression" dxfId="38" priority="4">
      <formula>$F$15=$E$52</formula>
    </cfRule>
  </conditionalFormatting>
  <conditionalFormatting sqref="E7:E16">
    <cfRule type="expression" dxfId="37" priority="43">
      <formula>$F$16=$E$52</formula>
    </cfRule>
  </conditionalFormatting>
  <conditionalFormatting sqref="E8:E17">
    <cfRule type="expression" dxfId="36" priority="44">
      <formula>$F$17=$E$52</formula>
    </cfRule>
  </conditionalFormatting>
  <conditionalFormatting sqref="E9:E18">
    <cfRule type="expression" dxfId="35" priority="45">
      <formula>$F$18=$E$52</formula>
    </cfRule>
  </conditionalFormatting>
  <conditionalFormatting sqref="E10:E19">
    <cfRule type="expression" dxfId="34" priority="46">
      <formula>$F$19=$E$52</formula>
    </cfRule>
  </conditionalFormatting>
  <conditionalFormatting sqref="E11:E20">
    <cfRule type="expression" dxfId="33" priority="47">
      <formula>$F$20=$E$52</formula>
    </cfRule>
  </conditionalFormatting>
  <conditionalFormatting sqref="E12:E21">
    <cfRule type="expression" dxfId="32" priority="48">
      <formula>$F$21=$E$52</formula>
    </cfRule>
  </conditionalFormatting>
  <conditionalFormatting sqref="E13:E22">
    <cfRule type="expression" dxfId="31" priority="49">
      <formula>$F$22=$E$52</formula>
    </cfRule>
  </conditionalFormatting>
  <conditionalFormatting sqref="E14:E23">
    <cfRule type="expression" dxfId="30" priority="50">
      <formula>$F$23=$E$52</formula>
    </cfRule>
  </conditionalFormatting>
  <conditionalFormatting sqref="E15:E24">
    <cfRule type="expression" dxfId="29" priority="51">
      <formula>$F$24=$E$52</formula>
    </cfRule>
  </conditionalFormatting>
  <conditionalFormatting sqref="E16:E25">
    <cfRule type="expression" dxfId="28" priority="52">
      <formula>$F$25=$E$52</formula>
    </cfRule>
  </conditionalFormatting>
  <conditionalFormatting sqref="E17:E26">
    <cfRule type="expression" dxfId="27" priority="53">
      <formula>$F$26=$E$52</formula>
    </cfRule>
  </conditionalFormatting>
  <conditionalFormatting sqref="E18:E27">
    <cfRule type="expression" dxfId="26" priority="54">
      <formula>$F$27=$E$52</formula>
    </cfRule>
  </conditionalFormatting>
  <conditionalFormatting sqref="E19:E28">
    <cfRule type="expression" dxfId="25" priority="55">
      <formula>$F$28=$E$52</formula>
    </cfRule>
  </conditionalFormatting>
  <conditionalFormatting sqref="E20:E29">
    <cfRule type="expression" dxfId="24" priority="56">
      <formula>$F$29=$E$52</formula>
    </cfRule>
  </conditionalFormatting>
  <conditionalFormatting sqref="E21:E30">
    <cfRule type="expression" dxfId="23" priority="57">
      <formula>$F$30=$E$52</formula>
    </cfRule>
  </conditionalFormatting>
  <conditionalFormatting sqref="E22:E31">
    <cfRule type="expression" dxfId="22" priority="58">
      <formula>$F$31=$E$52</formula>
    </cfRule>
  </conditionalFormatting>
  <conditionalFormatting sqref="E23:E32">
    <cfRule type="expression" dxfId="21" priority="59">
      <formula>$F$32=$E$52</formula>
    </cfRule>
  </conditionalFormatting>
  <conditionalFormatting sqref="E24:E33">
    <cfRule type="expression" dxfId="20" priority="60">
      <formula>$F$33=$E$52</formula>
    </cfRule>
  </conditionalFormatting>
  <conditionalFormatting sqref="E25:E34">
    <cfRule type="expression" dxfId="19" priority="61">
      <formula>$F$34=$E$52</formula>
    </cfRule>
  </conditionalFormatting>
  <conditionalFormatting sqref="E26:E35">
    <cfRule type="expression" dxfId="18" priority="62">
      <formula>$F$35=$E$52</formula>
    </cfRule>
  </conditionalFormatting>
  <conditionalFormatting sqref="E27:E36">
    <cfRule type="expression" dxfId="17" priority="63">
      <formula>$F$36=$E$52</formula>
    </cfRule>
  </conditionalFormatting>
  <conditionalFormatting sqref="E28:E37">
    <cfRule type="expression" dxfId="16" priority="64">
      <formula>$F$37=$E$52</formula>
    </cfRule>
  </conditionalFormatting>
  <conditionalFormatting sqref="E29:E38">
    <cfRule type="expression" dxfId="15" priority="65">
      <formula>$F$38=$E$52</formula>
    </cfRule>
  </conditionalFormatting>
  <conditionalFormatting sqref="E30:E39">
    <cfRule type="expression" dxfId="14" priority="66">
      <formula>$F$39=$E$52</formula>
    </cfRule>
  </conditionalFormatting>
  <conditionalFormatting sqref="E31:E40">
    <cfRule type="expression" dxfId="13" priority="67">
      <formula>$F$40=$E$52</formula>
    </cfRule>
  </conditionalFormatting>
  <conditionalFormatting sqref="E32:E41">
    <cfRule type="expression" dxfId="12" priority="1">
      <formula>$F$41=$E$52</formula>
    </cfRule>
  </conditionalFormatting>
  <conditionalFormatting sqref="E33:E42">
    <cfRule type="expression" dxfId="11" priority="2">
      <formula>$F$42=$E$52</formula>
    </cfRule>
  </conditionalFormatting>
  <conditionalFormatting sqref="E34:E44">
    <cfRule type="expression" dxfId="10" priority="68">
      <formula>$F$43=$E$52</formula>
    </cfRule>
  </conditionalFormatting>
  <conditionalFormatting sqref="E35:E45">
    <cfRule type="expression" dxfId="9" priority="69">
      <formula>$F$45=$E$52</formula>
    </cfRule>
  </conditionalFormatting>
  <conditionalFormatting sqref="E36:E46">
    <cfRule type="expression" dxfId="8" priority="70">
      <formula>$F$46=$E$52</formula>
    </cfRule>
  </conditionalFormatting>
  <conditionalFormatting sqref="E37:E47">
    <cfRule type="expression" dxfId="7" priority="71">
      <formula>$F$47=$E$52</formula>
    </cfRule>
  </conditionalFormatting>
  <conditionalFormatting sqref="E38:E48">
    <cfRule type="expression" dxfId="6" priority="72">
      <formula>$F$48=$E$52</formula>
    </cfRule>
  </conditionalFormatting>
  <conditionalFormatting sqref="E39:E49">
    <cfRule type="expression" dxfId="5" priority="73">
      <formula>$F$49=$E$52</formula>
    </cfRule>
  </conditionalFormatting>
  <conditionalFormatting sqref="E40:E50">
    <cfRule type="expression" dxfId="4" priority="74">
      <formula>$F$50=$E$52</formula>
    </cfRule>
  </conditionalFormatting>
  <conditionalFormatting sqref="E41:E51">
    <cfRule type="expression" dxfId="3" priority="75">
      <formula>$F$51=$E$52</formula>
    </cfRule>
  </conditionalFormatting>
  <dataValidations count="1">
    <dataValidation type="date" allowBlank="1" showInputMessage="1" showErrorMessage="1" error="Pole jest w formacie daty: RRRR-MM-DD_x000a_Data musi być póżniejsza od 2018-05-19" sqref="A69">
      <formula1>43240</formula1>
      <formula2>401769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W58"/>
  <sheetViews>
    <sheetView showGridLines="0" workbookViewId="0">
      <selection activeCell="D5" sqref="D5"/>
    </sheetView>
  </sheetViews>
  <sheetFormatPr defaultColWidth="8.88671875" defaultRowHeight="14.4" x14ac:dyDescent="0.3"/>
  <cols>
    <col min="1" max="1" width="18.33203125" style="1" customWidth="1"/>
    <col min="2" max="2" width="20.6640625" style="1" customWidth="1"/>
    <col min="3" max="4" width="12.6640625" style="1" customWidth="1"/>
    <col min="5" max="5" width="14.6640625" style="1" customWidth="1"/>
    <col min="6" max="6" width="5.33203125" style="1" customWidth="1"/>
    <col min="7" max="7" width="65.33203125" style="1" customWidth="1"/>
    <col min="8" max="8" width="11.33203125" style="152" customWidth="1"/>
    <col min="9" max="9" width="9.88671875" style="152" customWidth="1"/>
    <col min="10" max="10" width="10.33203125" style="152" customWidth="1"/>
    <col min="11" max="11" width="13.6640625" style="1" customWidth="1"/>
    <col min="12" max="12" width="18" style="1" customWidth="1"/>
    <col min="13" max="13" width="10.88671875" style="1" customWidth="1"/>
    <col min="14" max="14" width="12.6640625" style="1" customWidth="1"/>
    <col min="15" max="15" width="11.44140625" style="1" customWidth="1"/>
    <col min="16" max="16" width="11.5546875" style="1" customWidth="1"/>
    <col min="17" max="16384" width="8.88671875" style="1"/>
  </cols>
  <sheetData>
    <row r="1" spans="1:23" ht="20.399999999999999" customHeight="1" x14ac:dyDescent="0.3">
      <c r="A1" s="351" t="s">
        <v>124</v>
      </c>
      <c r="B1" s="351"/>
      <c r="C1" s="351"/>
      <c r="D1" s="351"/>
      <c r="E1" s="351"/>
      <c r="L1" s="160"/>
      <c r="M1" s="163">
        <v>36161</v>
      </c>
      <c r="N1" s="163">
        <v>36162</v>
      </c>
      <c r="O1" s="163">
        <v>37895</v>
      </c>
      <c r="P1" s="163">
        <v>41275</v>
      </c>
      <c r="Q1" s="161"/>
      <c r="R1" s="165">
        <v>0.09</v>
      </c>
      <c r="S1" s="165">
        <v>0.12</v>
      </c>
      <c r="T1" s="166">
        <v>300</v>
      </c>
      <c r="U1" s="161"/>
      <c r="V1" s="161"/>
      <c r="W1" s="161"/>
    </row>
    <row r="2" spans="1:23" ht="19.95" customHeight="1" thickBot="1" x14ac:dyDescent="0.35">
      <c r="A2" s="351"/>
      <c r="B2" s="351"/>
      <c r="C2" s="351"/>
      <c r="D2" s="351"/>
      <c r="E2" s="351"/>
      <c r="G2" s="350" t="s">
        <v>103</v>
      </c>
      <c r="H2" s="350"/>
      <c r="I2" s="350"/>
      <c r="J2" s="350"/>
      <c r="K2" s="350"/>
      <c r="L2" s="160"/>
      <c r="M2" s="163"/>
      <c r="N2" s="163"/>
      <c r="O2" s="163"/>
      <c r="P2" s="163"/>
      <c r="Q2" s="161"/>
      <c r="R2" s="165"/>
      <c r="S2" s="165"/>
      <c r="T2" s="166"/>
      <c r="U2" s="161"/>
      <c r="V2" s="161"/>
      <c r="W2" s="161"/>
    </row>
    <row r="3" spans="1:23" ht="31.2" customHeight="1" thickBot="1" x14ac:dyDescent="0.35">
      <c r="A3" s="361" t="s">
        <v>82</v>
      </c>
      <c r="B3" s="362"/>
      <c r="C3" s="234" t="s">
        <v>14</v>
      </c>
      <c r="D3" s="235" t="s">
        <v>0</v>
      </c>
      <c r="E3" s="148" t="s">
        <v>32</v>
      </c>
      <c r="G3" s="178" t="s">
        <v>99</v>
      </c>
      <c r="H3" s="48" t="s">
        <v>15</v>
      </c>
      <c r="I3" s="49" t="s">
        <v>16</v>
      </c>
      <c r="J3" s="50" t="s">
        <v>17</v>
      </c>
      <c r="K3" s="51" t="s">
        <v>26</v>
      </c>
      <c r="L3" s="160"/>
      <c r="M3" s="163"/>
      <c r="N3" s="163"/>
      <c r="O3" s="163"/>
      <c r="P3" s="163"/>
      <c r="Q3" s="161"/>
      <c r="R3" s="165"/>
      <c r="S3" s="165"/>
      <c r="T3" s="166"/>
      <c r="U3" s="161"/>
      <c r="V3" s="161"/>
      <c r="W3" s="161"/>
    </row>
    <row r="4" spans="1:23" ht="31.2" customHeight="1" thickBot="1" x14ac:dyDescent="0.35">
      <c r="A4" s="363" t="s">
        <v>105</v>
      </c>
      <c r="B4" s="364"/>
      <c r="C4" s="236"/>
      <c r="D4" s="237"/>
      <c r="E4" s="370" t="str">
        <f>IF($C$4&gt;=$P$1,"art. 18e",IF($C$4="","proszę obowiązkowo wprowadzić do komórki C4 datę wstąpienia po raz pierwszy do służby ","poza zakresem"))</f>
        <v xml:space="preserve">proszę obowiązkowo wprowadzić do komórki C4 datę wstąpienia po raz pierwszy do służby </v>
      </c>
      <c r="G4" s="126" t="s">
        <v>34</v>
      </c>
      <c r="H4" s="127">
        <f>$C$30</f>
        <v>0</v>
      </c>
      <c r="I4" s="127">
        <f>$D$30</f>
        <v>0</v>
      </c>
      <c r="J4" s="127">
        <f>$E$30</f>
        <v>0</v>
      </c>
      <c r="K4" s="128" t="str">
        <f>IF(C30&lt;25, "brak prawa",IF(H4&lt;25,0,ROUND(0.6+(H4-25)*0.03+I4*0.03/12,4)))</f>
        <v>brak prawa</v>
      </c>
      <c r="L4" s="160"/>
      <c r="M4" s="163"/>
      <c r="N4" s="163"/>
      <c r="O4" s="163"/>
      <c r="P4" s="163"/>
      <c r="Q4" s="161"/>
      <c r="R4" s="165"/>
      <c r="S4" s="165"/>
      <c r="T4" s="166"/>
      <c r="U4" s="161"/>
      <c r="V4" s="161"/>
      <c r="W4" s="161"/>
    </row>
    <row r="5" spans="1:23" ht="31.2" customHeight="1" thickBot="1" x14ac:dyDescent="0.35">
      <c r="A5" s="365" t="s">
        <v>81</v>
      </c>
      <c r="B5" s="366"/>
      <c r="C5" s="238" t="str">
        <f>IF('Podstawa wymiaru 10 lat SM'!$A$69="","",'Podstawa wymiaru 10 lat SM'!$A$69)</f>
        <v/>
      </c>
      <c r="D5" s="239" t="s">
        <v>74</v>
      </c>
      <c r="E5" s="371"/>
      <c r="G5" s="68"/>
      <c r="H5" s="367" t="s">
        <v>98</v>
      </c>
      <c r="I5" s="368"/>
      <c r="J5" s="369"/>
      <c r="K5" s="129">
        <f>IF(K4="brak prawa",0,MIN(K4,0.75))</f>
        <v>0</v>
      </c>
      <c r="L5" s="160"/>
      <c r="M5" s="163"/>
      <c r="N5" s="163"/>
      <c r="O5" s="163"/>
      <c r="P5" s="163"/>
      <c r="Q5" s="161"/>
      <c r="R5" s="165"/>
      <c r="S5" s="165"/>
      <c r="T5" s="166"/>
      <c r="U5" s="161"/>
      <c r="V5" s="161"/>
      <c r="W5" s="161"/>
    </row>
    <row r="6" spans="1:23" ht="22.95" customHeight="1" x14ac:dyDescent="0.3">
      <c r="A6" s="173"/>
      <c r="B6" s="173"/>
      <c r="C6" s="173"/>
      <c r="D6" s="173"/>
      <c r="E6" s="173"/>
      <c r="G6" s="30"/>
      <c r="H6" s="174"/>
      <c r="I6" s="174"/>
      <c r="J6" s="174"/>
      <c r="K6" s="174"/>
      <c r="L6" s="160"/>
      <c r="M6" s="163"/>
      <c r="N6" s="163"/>
      <c r="O6" s="163"/>
      <c r="P6" s="163"/>
      <c r="Q6" s="161"/>
      <c r="R6" s="165"/>
      <c r="S6" s="165"/>
      <c r="T6" s="166"/>
      <c r="U6" s="161"/>
      <c r="V6" s="161"/>
      <c r="W6" s="161"/>
    </row>
    <row r="7" spans="1:23" ht="31.95" customHeight="1" thickBot="1" x14ac:dyDescent="0.35">
      <c r="A7" s="352" t="s">
        <v>109</v>
      </c>
      <c r="B7" s="352"/>
      <c r="C7" s="352"/>
      <c r="D7" s="352"/>
      <c r="E7" s="352"/>
      <c r="G7" s="30"/>
      <c r="H7" s="174"/>
      <c r="I7" s="174"/>
      <c r="J7" s="174"/>
      <c r="K7" s="174"/>
      <c r="L7" s="160"/>
      <c r="M7" s="163"/>
      <c r="N7" s="163"/>
      <c r="O7" s="163"/>
      <c r="P7" s="163"/>
      <c r="Q7" s="161"/>
      <c r="R7" s="165"/>
      <c r="S7" s="165"/>
      <c r="T7" s="166"/>
      <c r="U7" s="161"/>
      <c r="V7" s="161"/>
      <c r="W7" s="161"/>
    </row>
    <row r="8" spans="1:23" ht="22.95" customHeight="1" thickBot="1" x14ac:dyDescent="0.35">
      <c r="A8" s="336" t="s">
        <v>29</v>
      </c>
      <c r="B8" s="337"/>
      <c r="C8" s="337"/>
      <c r="D8" s="337"/>
      <c r="E8" s="338"/>
      <c r="G8" s="372" t="s">
        <v>89</v>
      </c>
      <c r="H8" s="146" t="s">
        <v>15</v>
      </c>
      <c r="I8" s="147" t="s">
        <v>16</v>
      </c>
      <c r="J8" s="148" t="s">
        <v>17</v>
      </c>
      <c r="L8" s="34"/>
      <c r="M8" s="34"/>
    </row>
    <row r="9" spans="1:23" ht="22.95" customHeight="1" thickBot="1" x14ac:dyDescent="0.35">
      <c r="A9" s="35" t="s">
        <v>30</v>
      </c>
      <c r="B9" s="36" t="s">
        <v>31</v>
      </c>
      <c r="C9" s="35" t="s">
        <v>25</v>
      </c>
      <c r="D9" s="37" t="s">
        <v>27</v>
      </c>
      <c r="E9" s="36" t="s">
        <v>17</v>
      </c>
      <c r="G9" s="373"/>
      <c r="H9" s="149">
        <f>$C$30</f>
        <v>0</v>
      </c>
      <c r="I9" s="149">
        <f>$D$30</f>
        <v>0</v>
      </c>
      <c r="J9" s="150">
        <f>$E$30</f>
        <v>0</v>
      </c>
      <c r="L9" s="34"/>
      <c r="M9" s="34"/>
    </row>
    <row r="10" spans="1:23" ht="22.95" customHeight="1" x14ac:dyDescent="0.3">
      <c r="A10" s="264"/>
      <c r="B10" s="265"/>
      <c r="C10" s="40">
        <f>IF((ISBLANK(A10)=TRUE),0,DATEDIF(A10,B10+1,"Y"))</f>
        <v>0</v>
      </c>
      <c r="D10" s="41">
        <f>IF((ISBLANK(A10)=TRUE),0,DATEDIF(A10,B10+1,"YM"))</f>
        <v>0</v>
      </c>
      <c r="E10" s="42">
        <f>IF((ISBLANK(A10)=TRUE),0,DATEDIF(A10,B10+1,"MD"))</f>
        <v>0</v>
      </c>
      <c r="H10" s="1"/>
      <c r="I10" s="1"/>
      <c r="J10" s="1"/>
      <c r="L10" s="43"/>
      <c r="M10" s="34"/>
    </row>
    <row r="11" spans="1:23" ht="22.95" customHeight="1" x14ac:dyDescent="0.3">
      <c r="A11" s="266"/>
      <c r="B11" s="267"/>
      <c r="C11" s="44">
        <f>IF((ISBLANK(A11)=TRUE),0,DATEDIF(A11,B11+1,"Y"))</f>
        <v>0</v>
      </c>
      <c r="D11" s="45">
        <f>IF((ISBLANK(A11)=TRUE),0,DATEDIF(A11,B11+1,"YM"))</f>
        <v>0</v>
      </c>
      <c r="E11" s="46">
        <f>IF((ISBLANK(A11)=TRUE),0,DATEDIF(A11,B11+1,"MD"))</f>
        <v>0</v>
      </c>
      <c r="G11" s="359" t="s">
        <v>78</v>
      </c>
      <c r="H11" s="359"/>
      <c r="I11" s="359"/>
      <c r="J11" s="359"/>
      <c r="K11" s="34"/>
      <c r="L11" s="34"/>
      <c r="M11" s="34"/>
    </row>
    <row r="12" spans="1:23" ht="22.95" customHeight="1" thickBot="1" x14ac:dyDescent="0.35">
      <c r="A12" s="266"/>
      <c r="B12" s="267"/>
      <c r="C12" s="44">
        <f>IF((ISBLANK(A12)=TRUE),0,DATEDIF(A12,B12+1,"Y"))</f>
        <v>0</v>
      </c>
      <c r="D12" s="45">
        <f>IF((ISBLANK(A12)=TRUE),0,DATEDIF(A12,B12+1,"YM"))</f>
        <v>0</v>
      </c>
      <c r="E12" s="46">
        <f>IF((ISBLANK(A12)=TRUE),0,DATEDIF(A12,B12+1,"MD"))</f>
        <v>0</v>
      </c>
      <c r="G12" s="360" t="str">
        <f>IF($E$4="art. 18e","Obliczenie wysokości emerytury na podstawie art. 18e ustawy","")</f>
        <v/>
      </c>
      <c r="H12" s="360"/>
      <c r="I12" s="360"/>
      <c r="J12" s="360"/>
      <c r="L12" s="52"/>
      <c r="M12" s="52"/>
    </row>
    <row r="13" spans="1:23" ht="22.95" customHeight="1" thickBot="1" x14ac:dyDescent="0.35">
      <c r="A13" s="266"/>
      <c r="B13" s="267"/>
      <c r="C13" s="44">
        <f t="shared" ref="C13:C19" si="0">IF((ISBLANK(A13)=TRUE),0,DATEDIF(A13,B13+1,"Y"))</f>
        <v>0</v>
      </c>
      <c r="D13" s="45">
        <f t="shared" ref="D13:D19" si="1">IF((ISBLANK(A13)=TRUE),0,DATEDIF(A13,B13+1,"YM"))</f>
        <v>0</v>
      </c>
      <c r="E13" s="46">
        <f t="shared" ref="E13:E19" si="2">IF((ISBLANK(A13)=TRUE),0,DATEDIF(A13,B13+1,"MD"))</f>
        <v>0</v>
      </c>
      <c r="G13" s="374" t="s">
        <v>93</v>
      </c>
      <c r="H13" s="375"/>
      <c r="I13" s="375"/>
      <c r="J13" s="376"/>
      <c r="K13" s="254">
        <f>'Podstawa wymiaru 10 lat SM'!$D$70</f>
        <v>0</v>
      </c>
      <c r="L13" s="15"/>
      <c r="M13" s="15"/>
    </row>
    <row r="14" spans="1:23" ht="22.95" customHeight="1" thickBot="1" x14ac:dyDescent="0.35">
      <c r="A14" s="266"/>
      <c r="B14" s="267"/>
      <c r="C14" s="44">
        <f t="shared" si="0"/>
        <v>0</v>
      </c>
      <c r="D14" s="45">
        <f t="shared" si="1"/>
        <v>0</v>
      </c>
      <c r="E14" s="46">
        <f t="shared" si="2"/>
        <v>0</v>
      </c>
      <c r="G14" s="330" t="s">
        <v>90</v>
      </c>
      <c r="H14" s="331"/>
      <c r="I14" s="331"/>
      <c r="J14" s="332"/>
      <c r="K14" s="196"/>
      <c r="L14" s="184" t="str">
        <f>IF($H$9&lt;32,"wysługa (H9) &lt;32 lata","")</f>
        <v>wysługa (H9) &lt;32 lata</v>
      </c>
      <c r="M14" s="15"/>
    </row>
    <row r="15" spans="1:23" ht="22.95" customHeight="1" thickBot="1" x14ac:dyDescent="0.35">
      <c r="A15" s="266"/>
      <c r="B15" s="267"/>
      <c r="C15" s="44">
        <f t="shared" si="0"/>
        <v>0</v>
      </c>
      <c r="D15" s="45">
        <f t="shared" si="1"/>
        <v>0</v>
      </c>
      <c r="E15" s="46">
        <f t="shared" si="2"/>
        <v>0</v>
      </c>
      <c r="G15" s="333" t="s">
        <v>92</v>
      </c>
      <c r="H15" s="334"/>
      <c r="I15" s="334"/>
      <c r="J15" s="335"/>
      <c r="K15" s="255">
        <f>K13+K14</f>
        <v>0</v>
      </c>
      <c r="M15" s="67"/>
    </row>
    <row r="16" spans="1:23" ht="22.95" customHeight="1" thickBot="1" x14ac:dyDescent="0.35">
      <c r="A16" s="266"/>
      <c r="B16" s="267"/>
      <c r="C16" s="44">
        <f t="shared" si="0"/>
        <v>0</v>
      </c>
      <c r="D16" s="45">
        <f>IF((ISBLANK(A16)=TRUE),0,DATEDIF(A16,B16+1,"YM"))</f>
        <v>0</v>
      </c>
      <c r="E16" s="46">
        <f>IF((ISBLANK(A16)=TRUE),0,DATEDIF(A16,B16+1,"MD"))</f>
        <v>0</v>
      </c>
      <c r="G16" s="353" t="s">
        <v>24</v>
      </c>
      <c r="H16" s="354"/>
      <c r="I16" s="354"/>
      <c r="J16" s="355"/>
      <c r="K16" s="13">
        <f>K5</f>
        <v>0</v>
      </c>
      <c r="L16" s="67"/>
      <c r="M16" s="67"/>
    </row>
    <row r="17" spans="1:14" ht="22.95" customHeight="1" thickBot="1" x14ac:dyDescent="0.35">
      <c r="A17" s="266"/>
      <c r="B17" s="267"/>
      <c r="C17" s="44">
        <f t="shared" si="0"/>
        <v>0</v>
      </c>
      <c r="D17" s="45">
        <f>IF((ISBLANK(A17)=TRUE),0,DATEDIF(A17,B17+1,"YM"))</f>
        <v>0</v>
      </c>
      <c r="E17" s="46">
        <f>IF((ISBLANK(A17)=TRUE),0,DATEDIF(A17,B17+1,"MD"))</f>
        <v>0</v>
      </c>
      <c r="G17" s="356" t="s">
        <v>73</v>
      </c>
      <c r="H17" s="357"/>
      <c r="I17" s="357"/>
      <c r="J17" s="358"/>
      <c r="K17" s="162">
        <f>ROUND(K15*K16,2)</f>
        <v>0</v>
      </c>
      <c r="L17" s="67"/>
      <c r="M17" s="67"/>
    </row>
    <row r="18" spans="1:14" ht="22.95" customHeight="1" x14ac:dyDescent="0.3">
      <c r="A18" s="266"/>
      <c r="B18" s="267"/>
      <c r="C18" s="44">
        <f t="shared" si="0"/>
        <v>0</v>
      </c>
      <c r="D18" s="45">
        <f t="shared" si="1"/>
        <v>0</v>
      </c>
      <c r="E18" s="46">
        <f t="shared" si="2"/>
        <v>0</v>
      </c>
      <c r="G18" s="343" t="s">
        <v>58</v>
      </c>
      <c r="H18" s="344"/>
      <c r="I18" s="344"/>
      <c r="J18" s="345"/>
      <c r="K18" s="16">
        <f>MAX(ROUND(K17*$R$1,2),0)</f>
        <v>0</v>
      </c>
      <c r="N18" s="67"/>
    </row>
    <row r="19" spans="1:14" ht="22.95" customHeight="1" thickBot="1" x14ac:dyDescent="0.35">
      <c r="A19" s="266"/>
      <c r="B19" s="267"/>
      <c r="C19" s="44">
        <f t="shared" si="0"/>
        <v>0</v>
      </c>
      <c r="D19" s="45">
        <f t="shared" si="1"/>
        <v>0</v>
      </c>
      <c r="E19" s="46">
        <f t="shared" si="2"/>
        <v>0</v>
      </c>
      <c r="G19" s="346" t="s">
        <v>59</v>
      </c>
      <c r="H19" s="347"/>
      <c r="I19" s="347"/>
      <c r="J19" s="348"/>
      <c r="K19" s="17">
        <f>MAX(ROUND(ROUND(K17,0)*$S$1-$T$1,0),0)</f>
        <v>0</v>
      </c>
      <c r="N19" s="67"/>
    </row>
    <row r="20" spans="1:14" ht="22.95" customHeight="1" thickBot="1" x14ac:dyDescent="0.35">
      <c r="A20" s="266"/>
      <c r="B20" s="267"/>
      <c r="C20" s="44">
        <f t="shared" ref="C20:C29" si="3">IF((ISBLANK(A20)=TRUE),0,DATEDIF(A20,B20+1,"Y"))</f>
        <v>0</v>
      </c>
      <c r="D20" s="45">
        <f t="shared" ref="D20:D29" si="4">IF((ISBLANK(A20)=TRUE),0,DATEDIF(A20,B20+1,"YM"))</f>
        <v>0</v>
      </c>
      <c r="E20" s="46">
        <f t="shared" ref="E20:E29" si="5">IF((ISBLANK(A20)=TRUE),0,DATEDIF(A20,B20+1,"MD"))</f>
        <v>0</v>
      </c>
      <c r="G20" s="339" t="s">
        <v>72</v>
      </c>
      <c r="H20" s="340"/>
      <c r="I20" s="340"/>
      <c r="J20" s="341"/>
      <c r="K20" s="18">
        <f>K17-K18-K19</f>
        <v>0</v>
      </c>
      <c r="L20" s="151"/>
      <c r="N20" s="67"/>
    </row>
    <row r="21" spans="1:14" ht="22.95" customHeight="1" x14ac:dyDescent="0.3">
      <c r="A21" s="266"/>
      <c r="B21" s="267"/>
      <c r="C21" s="44">
        <f t="shared" ref="C21:C28" si="6">IF((ISBLANK(A21)=TRUE),0,DATEDIF(A21,B21+1,"Y"))</f>
        <v>0</v>
      </c>
      <c r="D21" s="45">
        <f t="shared" ref="D21:D28" si="7">IF((ISBLANK(A21)=TRUE),0,DATEDIF(A21,B21+1,"YM"))</f>
        <v>0</v>
      </c>
      <c r="E21" s="46">
        <f t="shared" ref="E21:E28" si="8">IF((ISBLANK(A21)=TRUE),0,DATEDIF(A21,B21+1,"MD"))</f>
        <v>0</v>
      </c>
      <c r="G21" s="130"/>
      <c r="H21" s="130"/>
      <c r="I21" s="130"/>
      <c r="J21" s="130"/>
      <c r="K21" s="131"/>
      <c r="L21" s="151"/>
      <c r="N21" s="67"/>
    </row>
    <row r="22" spans="1:14" ht="22.95" customHeight="1" x14ac:dyDescent="0.3">
      <c r="A22" s="266"/>
      <c r="B22" s="267"/>
      <c r="C22" s="44">
        <f t="shared" si="6"/>
        <v>0</v>
      </c>
      <c r="D22" s="45">
        <f t="shared" si="7"/>
        <v>0</v>
      </c>
      <c r="E22" s="46">
        <f t="shared" si="8"/>
        <v>0</v>
      </c>
      <c r="G22" s="349" t="s">
        <v>97</v>
      </c>
      <c r="H22" s="349"/>
      <c r="I22" s="349"/>
      <c r="J22" s="349"/>
      <c r="K22" s="349"/>
      <c r="L22" s="151"/>
      <c r="N22" s="67"/>
    </row>
    <row r="23" spans="1:14" ht="22.95" customHeight="1" x14ac:dyDescent="0.3">
      <c r="A23" s="266"/>
      <c r="B23" s="267"/>
      <c r="C23" s="44">
        <f t="shared" si="6"/>
        <v>0</v>
      </c>
      <c r="D23" s="45">
        <f t="shared" si="7"/>
        <v>0</v>
      </c>
      <c r="E23" s="46">
        <f t="shared" si="8"/>
        <v>0</v>
      </c>
      <c r="G23" s="349"/>
      <c r="H23" s="349"/>
      <c r="I23" s="349"/>
      <c r="J23" s="349"/>
      <c r="K23" s="349"/>
      <c r="L23" s="151"/>
      <c r="N23" s="67"/>
    </row>
    <row r="24" spans="1:14" ht="22.95" customHeight="1" x14ac:dyDescent="0.3">
      <c r="A24" s="266"/>
      <c r="B24" s="267"/>
      <c r="C24" s="44">
        <f t="shared" si="6"/>
        <v>0</v>
      </c>
      <c r="D24" s="45">
        <f t="shared" si="7"/>
        <v>0</v>
      </c>
      <c r="E24" s="46">
        <f t="shared" si="8"/>
        <v>0</v>
      </c>
      <c r="G24" s="349"/>
      <c r="H24" s="349"/>
      <c r="I24" s="349"/>
      <c r="J24" s="349"/>
      <c r="K24" s="349"/>
      <c r="L24" s="151"/>
      <c r="N24" s="67"/>
    </row>
    <row r="25" spans="1:14" ht="22.95" customHeight="1" x14ac:dyDescent="0.3">
      <c r="A25" s="266"/>
      <c r="B25" s="267"/>
      <c r="C25" s="44">
        <f t="shared" si="6"/>
        <v>0</v>
      </c>
      <c r="D25" s="45">
        <f t="shared" si="7"/>
        <v>0</v>
      </c>
      <c r="E25" s="46">
        <f t="shared" si="8"/>
        <v>0</v>
      </c>
      <c r="G25" s="175"/>
      <c r="H25" s="175"/>
      <c r="I25" s="175"/>
      <c r="J25" s="175"/>
      <c r="K25" s="175"/>
      <c r="L25" s="151"/>
      <c r="N25" s="67"/>
    </row>
    <row r="26" spans="1:14" ht="22.95" customHeight="1" x14ac:dyDescent="0.3">
      <c r="A26" s="266"/>
      <c r="B26" s="267"/>
      <c r="C26" s="44">
        <f t="shared" si="6"/>
        <v>0</v>
      </c>
      <c r="D26" s="45">
        <f t="shared" si="7"/>
        <v>0</v>
      </c>
      <c r="E26" s="46">
        <f t="shared" si="8"/>
        <v>0</v>
      </c>
      <c r="G26" s="274" t="s">
        <v>61</v>
      </c>
      <c r="H26" s="274"/>
      <c r="I26" s="274"/>
      <c r="J26" s="274"/>
      <c r="K26" s="274"/>
      <c r="L26" s="151"/>
      <c r="N26" s="67"/>
    </row>
    <row r="27" spans="1:14" ht="22.95" customHeight="1" x14ac:dyDescent="0.3">
      <c r="A27" s="266"/>
      <c r="B27" s="267"/>
      <c r="C27" s="44">
        <f t="shared" si="6"/>
        <v>0</v>
      </c>
      <c r="D27" s="45">
        <f t="shared" si="7"/>
        <v>0</v>
      </c>
      <c r="E27" s="46">
        <f t="shared" si="8"/>
        <v>0</v>
      </c>
      <c r="G27" s="274"/>
      <c r="H27" s="274"/>
      <c r="I27" s="274"/>
      <c r="J27" s="274"/>
      <c r="K27" s="274"/>
      <c r="L27" s="151"/>
      <c r="N27" s="67"/>
    </row>
    <row r="28" spans="1:14" ht="22.95" customHeight="1" x14ac:dyDescent="0.3">
      <c r="A28" s="266"/>
      <c r="B28" s="267"/>
      <c r="C28" s="44">
        <f t="shared" si="6"/>
        <v>0</v>
      </c>
      <c r="D28" s="45">
        <f t="shared" si="7"/>
        <v>0</v>
      </c>
      <c r="E28" s="46">
        <f t="shared" si="8"/>
        <v>0</v>
      </c>
      <c r="G28" s="130"/>
      <c r="H28" s="130"/>
      <c r="I28" s="130"/>
      <c r="J28" s="130"/>
      <c r="K28" s="131"/>
      <c r="N28" s="67"/>
    </row>
    <row r="29" spans="1:14" ht="22.95" customHeight="1" thickBot="1" x14ac:dyDescent="0.35">
      <c r="A29" s="268"/>
      <c r="B29" s="269"/>
      <c r="C29" s="44">
        <f t="shared" si="3"/>
        <v>0</v>
      </c>
      <c r="D29" s="45">
        <f t="shared" si="4"/>
        <v>0</v>
      </c>
      <c r="E29" s="46">
        <f t="shared" si="5"/>
        <v>0</v>
      </c>
    </row>
    <row r="30" spans="1:14" ht="22.95" customHeight="1" thickBot="1" x14ac:dyDescent="0.35">
      <c r="A30" s="336" t="s">
        <v>28</v>
      </c>
      <c r="B30" s="342"/>
      <c r="C30" s="76">
        <f>SUM(C10:C29)+INT((SUM(D10:D29)+INT(SUM(E10:E29)/30))/12)</f>
        <v>0</v>
      </c>
      <c r="D30" s="76">
        <f>MOD(SUM(D10:D20)+INT(SUM(E10:E20)/30),12)</f>
        <v>0</v>
      </c>
      <c r="E30" s="77">
        <f>MOD(SUM(E10:E20),30)</f>
        <v>0</v>
      </c>
    </row>
    <row r="31" spans="1:14" ht="22.95" customHeight="1" x14ac:dyDescent="0.3"/>
    <row r="32" spans="1:14" ht="22.95" customHeight="1" x14ac:dyDescent="0.3"/>
    <row r="33" spans="1:11" ht="51" customHeight="1" x14ac:dyDescent="0.3"/>
    <row r="34" spans="1:11" ht="22.2" hidden="1" customHeight="1" thickBot="1" x14ac:dyDescent="0.35">
      <c r="G34" s="179"/>
      <c r="H34" s="179"/>
      <c r="I34" s="179"/>
      <c r="J34" s="179"/>
      <c r="K34" s="179"/>
    </row>
    <row r="35" spans="1:11" ht="15" hidden="1" customHeight="1" thickBot="1" x14ac:dyDescent="0.35">
      <c r="A35" s="336" t="s">
        <v>33</v>
      </c>
      <c r="B35" s="337"/>
      <c r="C35" s="337"/>
      <c r="D35" s="337"/>
      <c r="E35" s="338"/>
      <c r="G35" s="179"/>
      <c r="H35" s="179"/>
      <c r="I35" s="179"/>
      <c r="J35" s="179"/>
      <c r="K35" s="179"/>
    </row>
    <row r="36" spans="1:11" ht="15" hidden="1" customHeight="1" thickBot="1" x14ac:dyDescent="0.35">
      <c r="A36" s="35" t="s">
        <v>30</v>
      </c>
      <c r="B36" s="36" t="s">
        <v>31</v>
      </c>
      <c r="C36" s="35" t="s">
        <v>25</v>
      </c>
      <c r="D36" s="37" t="s">
        <v>27</v>
      </c>
      <c r="E36" s="36" t="s">
        <v>17</v>
      </c>
    </row>
    <row r="37" spans="1:11" ht="14.4" hidden="1" customHeight="1" x14ac:dyDescent="0.3">
      <c r="A37" s="38"/>
      <c r="B37" s="39"/>
      <c r="C37" s="40">
        <f>IF((ISBLANK(A37)=TRUE),0,DATEDIF(A37,B37+1,"Y"))</f>
        <v>0</v>
      </c>
      <c r="D37" s="41">
        <f t="shared" ref="D37:D47" si="9">IF((ISBLANK(A37)=TRUE),0,DATEDIF(A37,B37+1,"YM"))</f>
        <v>0</v>
      </c>
      <c r="E37" s="42">
        <f t="shared" ref="E37:E47" si="10">IF((ISBLANK(A37)=TRUE),0,DATEDIF(A37,B37+1,"MD"))</f>
        <v>0</v>
      </c>
    </row>
    <row r="38" spans="1:11" ht="14.4" hidden="1" customHeight="1" x14ac:dyDescent="0.3">
      <c r="A38" s="53"/>
      <c r="B38" s="54"/>
      <c r="C38" s="44">
        <f>IF((ISBLANK(A38)=TRUE),0,DATEDIF(A38,B38+1,"Y"))</f>
        <v>0</v>
      </c>
      <c r="D38" s="45">
        <f t="shared" si="9"/>
        <v>0</v>
      </c>
      <c r="E38" s="46">
        <f t="shared" si="10"/>
        <v>0</v>
      </c>
    </row>
    <row r="39" spans="1:11" ht="14.4" hidden="1" customHeight="1" x14ac:dyDescent="0.3">
      <c r="A39" s="53"/>
      <c r="B39" s="54"/>
      <c r="C39" s="44">
        <f>IF((ISBLANK(A39)=TRUE),0,DATEDIF(A39,B39+1,"Y"))</f>
        <v>0</v>
      </c>
      <c r="D39" s="45">
        <f t="shared" si="9"/>
        <v>0</v>
      </c>
      <c r="E39" s="46">
        <f t="shared" si="10"/>
        <v>0</v>
      </c>
    </row>
    <row r="40" spans="1:11" ht="14.4" hidden="1" customHeight="1" x14ac:dyDescent="0.3">
      <c r="A40" s="53"/>
      <c r="B40" s="54"/>
      <c r="C40" s="44">
        <f t="shared" ref="C40:C47" si="11">IF((ISBLANK(A40)=TRUE),0,DATEDIF(A40,B40+1,"Y"))</f>
        <v>0</v>
      </c>
      <c r="D40" s="45">
        <f t="shared" si="9"/>
        <v>0</v>
      </c>
      <c r="E40" s="46">
        <f t="shared" si="10"/>
        <v>0</v>
      </c>
    </row>
    <row r="41" spans="1:11" ht="14.4" hidden="1" customHeight="1" x14ac:dyDescent="0.3">
      <c r="A41" s="53"/>
      <c r="B41" s="54"/>
      <c r="C41" s="44">
        <f t="shared" si="11"/>
        <v>0</v>
      </c>
      <c r="D41" s="45">
        <f t="shared" si="9"/>
        <v>0</v>
      </c>
      <c r="E41" s="46">
        <f t="shared" si="10"/>
        <v>0</v>
      </c>
    </row>
    <row r="42" spans="1:11" ht="14.4" hidden="1" customHeight="1" x14ac:dyDescent="0.3">
      <c r="A42" s="53"/>
      <c r="B42" s="54"/>
      <c r="C42" s="44">
        <f t="shared" si="11"/>
        <v>0</v>
      </c>
      <c r="D42" s="45">
        <f t="shared" si="9"/>
        <v>0</v>
      </c>
      <c r="E42" s="46">
        <f t="shared" si="10"/>
        <v>0</v>
      </c>
    </row>
    <row r="43" spans="1:11" ht="14.4" hidden="1" customHeight="1" x14ac:dyDescent="0.3">
      <c r="A43" s="53"/>
      <c r="B43" s="54"/>
      <c r="C43" s="44">
        <f t="shared" si="11"/>
        <v>0</v>
      </c>
      <c r="D43" s="45">
        <f t="shared" si="9"/>
        <v>0</v>
      </c>
      <c r="E43" s="46">
        <f t="shared" si="10"/>
        <v>0</v>
      </c>
    </row>
    <row r="44" spans="1:11" ht="14.4" hidden="1" customHeight="1" x14ac:dyDescent="0.3">
      <c r="A44" s="53"/>
      <c r="B44" s="54"/>
      <c r="C44" s="44">
        <f t="shared" si="11"/>
        <v>0</v>
      </c>
      <c r="D44" s="45">
        <f t="shared" si="9"/>
        <v>0</v>
      </c>
      <c r="E44" s="46">
        <f t="shared" si="10"/>
        <v>0</v>
      </c>
    </row>
    <row r="45" spans="1:11" ht="14.4" hidden="1" customHeight="1" x14ac:dyDescent="0.3">
      <c r="A45" s="53"/>
      <c r="B45" s="54"/>
      <c r="C45" s="44">
        <f t="shared" si="11"/>
        <v>0</v>
      </c>
      <c r="D45" s="45">
        <f t="shared" si="9"/>
        <v>0</v>
      </c>
      <c r="E45" s="46">
        <f t="shared" si="10"/>
        <v>0</v>
      </c>
    </row>
    <row r="46" spans="1:11" ht="14.4" hidden="1" customHeight="1" x14ac:dyDescent="0.3">
      <c r="A46" s="53"/>
      <c r="B46" s="54"/>
      <c r="C46" s="44">
        <f t="shared" si="11"/>
        <v>0</v>
      </c>
      <c r="D46" s="45">
        <f t="shared" si="9"/>
        <v>0</v>
      </c>
      <c r="E46" s="46">
        <f t="shared" si="10"/>
        <v>0</v>
      </c>
      <c r="G46" s="183" t="s">
        <v>94</v>
      </c>
      <c r="H46" s="183"/>
      <c r="I46" s="183"/>
      <c r="J46" s="183"/>
      <c r="K46" s="183"/>
    </row>
    <row r="47" spans="1:11" ht="15" hidden="1" customHeight="1" thickBot="1" x14ac:dyDescent="0.35">
      <c r="A47" s="71"/>
      <c r="B47" s="72"/>
      <c r="C47" s="73">
        <f t="shared" si="11"/>
        <v>0</v>
      </c>
      <c r="D47" s="74">
        <f t="shared" si="9"/>
        <v>0</v>
      </c>
      <c r="E47" s="75">
        <f t="shared" si="10"/>
        <v>0</v>
      </c>
      <c r="G47" s="159"/>
      <c r="H47" s="159"/>
      <c r="I47" s="159"/>
      <c r="J47" s="159"/>
      <c r="K47" s="159"/>
    </row>
    <row r="48" spans="1:11" ht="15" hidden="1" customHeight="1" thickBot="1" x14ac:dyDescent="0.35">
      <c r="A48" s="336" t="s">
        <v>28</v>
      </c>
      <c r="B48" s="342"/>
      <c r="C48" s="76">
        <f>SUM(C37:C47)+INT((SUM(D37:D47)+INT(SUM(E37:E47)/30))/12)</f>
        <v>0</v>
      </c>
      <c r="D48" s="76">
        <f>MOD(SUM(D37:D47)+INT(SUM(E37:E47)/30),12)</f>
        <v>0</v>
      </c>
      <c r="E48" s="77">
        <f>MOD(SUM(E37:E47),30)</f>
        <v>0</v>
      </c>
      <c r="G48" s="179" t="s">
        <v>61</v>
      </c>
      <c r="H48" s="179"/>
      <c r="I48" s="179"/>
      <c r="J48" s="179"/>
      <c r="K48" s="179"/>
    </row>
    <row r="49" spans="7:11" ht="14.4" hidden="1" customHeight="1" x14ac:dyDescent="0.3">
      <c r="G49" s="179"/>
      <c r="H49" s="179"/>
      <c r="I49" s="179"/>
      <c r="J49" s="179"/>
      <c r="K49" s="179"/>
    </row>
    <row r="50" spans="7:11" ht="14.4" hidden="1" customHeight="1" x14ac:dyDescent="0.3">
      <c r="G50" s="179"/>
      <c r="H50" s="179"/>
      <c r="I50" s="179"/>
      <c r="J50" s="179"/>
      <c r="K50" s="179"/>
    </row>
    <row r="51" spans="7:11" ht="71.400000000000006" customHeight="1" x14ac:dyDescent="0.3"/>
    <row r="52" spans="7:11" ht="14.4" customHeight="1" x14ac:dyDescent="0.3">
      <c r="H52" s="1"/>
      <c r="I52" s="1"/>
      <c r="J52" s="1"/>
    </row>
    <row r="53" spans="7:11" ht="21.6" customHeight="1" x14ac:dyDescent="0.3">
      <c r="H53" s="1"/>
      <c r="I53" s="1"/>
      <c r="J53" s="1"/>
    </row>
    <row r="54" spans="7:11" ht="22.95" customHeight="1" x14ac:dyDescent="0.3">
      <c r="H54" s="1"/>
      <c r="I54" s="1"/>
      <c r="J54" s="1"/>
    </row>
    <row r="55" spans="7:11" ht="15.6" customHeight="1" x14ac:dyDescent="0.3">
      <c r="H55" s="1"/>
      <c r="I55" s="1"/>
      <c r="J55" s="1"/>
    </row>
    <row r="56" spans="7:11" ht="14.4" customHeight="1" x14ac:dyDescent="0.3"/>
    <row r="57" spans="7:11" ht="14.4" customHeight="1" x14ac:dyDescent="0.3"/>
    <row r="58" spans="7:11" ht="14.4" customHeight="1" x14ac:dyDescent="0.3"/>
  </sheetData>
  <sheetProtection algorithmName="SHA-512" hashValue="MW7kmMxotBXQOUd5kPMOcar7NeeDR4CJxzBueStAE42gviH21GTMOeUPpvH6qtiqOgipnhUPNyuAC/+NaWl1dg==" saltValue="NSnHnk61JBFqirftueLsaQ==" spinCount="100000" sheet="1" objects="1" scenarios="1"/>
  <mergeCells count="25">
    <mergeCell ref="G2:K2"/>
    <mergeCell ref="G26:K27"/>
    <mergeCell ref="A1:E2"/>
    <mergeCell ref="A7:E7"/>
    <mergeCell ref="G16:J16"/>
    <mergeCell ref="G17:J17"/>
    <mergeCell ref="G11:J11"/>
    <mergeCell ref="G12:J12"/>
    <mergeCell ref="A3:B3"/>
    <mergeCell ref="A4:B4"/>
    <mergeCell ref="A5:B5"/>
    <mergeCell ref="A8:E8"/>
    <mergeCell ref="H5:J5"/>
    <mergeCell ref="E4:E5"/>
    <mergeCell ref="G8:G9"/>
    <mergeCell ref="G13:J13"/>
    <mergeCell ref="G14:J14"/>
    <mergeCell ref="G15:J15"/>
    <mergeCell ref="A35:E35"/>
    <mergeCell ref="G20:J20"/>
    <mergeCell ref="A48:B48"/>
    <mergeCell ref="G18:J18"/>
    <mergeCell ref="G19:J19"/>
    <mergeCell ref="G22:K24"/>
    <mergeCell ref="A30:B30"/>
  </mergeCells>
  <conditionalFormatting sqref="K14">
    <cfRule type="expression" dxfId="2" priority="1">
      <formula>$H$9&lt;32</formula>
    </cfRule>
  </conditionalFormatting>
  <dataValidations xWindow="541" yWindow="569" count="2">
    <dataValidation type="date" allowBlank="1" showInputMessage="1" showErrorMessage="1" error="Data musi być późniejsza od 2012-12-31 _x000a_Data w formacie RRRR-MM-DD_x000a_" prompt="Proszę wypenić pole w formacie daty, _x000a_tj.: RRRR-MM-DD, gdzie:_x000a_RRRR - rok_x000a_MM - miesiąc_x000a_DD - dzień" sqref="C4">
      <formula1>41275</formula1>
      <formula2>402133</formula2>
    </dataValidation>
    <dataValidation type="date" allowBlank="1" showInputMessage="1" showErrorMessage="1" error="Data w formacie RRRR-MM-DD" sqref="A10:B29">
      <formula1>1</formula1>
      <formula2>402133</formula2>
    </dataValidation>
  </dataValidations>
  <pageMargins left="0.70866141732283472" right="0.70866141732283472" top="0.54" bottom="0.27559055118110237" header="0.25" footer="0.15748031496062992"/>
  <pageSetup paperSize="9" scale="94"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41" yWindow="569" count="1">
        <x14:dataValidation type="list" allowBlank="1" showInputMessage="1" showErrorMessage="1">
          <x14:formula1>
            <xm:f>Roboczy!$B$2:$B$17</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A102"/>
  <sheetViews>
    <sheetView showGridLines="0" workbookViewId="0">
      <selection activeCell="C4" sqref="C4"/>
    </sheetView>
  </sheetViews>
  <sheetFormatPr defaultColWidth="8.88671875" defaultRowHeight="14.4" x14ac:dyDescent="0.3"/>
  <cols>
    <col min="1" max="1" width="19.44140625" style="1" customWidth="1"/>
    <col min="2" max="2" width="20.33203125" style="1" customWidth="1"/>
    <col min="3" max="3" width="12" style="1" customWidth="1"/>
    <col min="4" max="4" width="11.6640625" style="1" customWidth="1"/>
    <col min="5" max="5" width="14.5546875" style="1" customWidth="1"/>
    <col min="6" max="6" width="5.44140625" style="1" customWidth="1"/>
    <col min="7" max="7" width="63.88671875" style="1" customWidth="1"/>
    <col min="8" max="8" width="11.109375" style="152" customWidth="1"/>
    <col min="9" max="10" width="10.6640625" style="152" customWidth="1"/>
    <col min="11" max="11" width="14.6640625" style="1" customWidth="1"/>
    <col min="12" max="12" width="20.44140625" style="1" customWidth="1"/>
    <col min="13" max="13" width="10.88671875" style="1" customWidth="1"/>
    <col min="14" max="14" width="12.6640625" style="1" customWidth="1"/>
    <col min="15" max="15" width="11.44140625" style="1" customWidth="1"/>
    <col min="16" max="16" width="11.5546875" style="1" customWidth="1"/>
    <col min="17" max="16384" width="8.88671875" style="1"/>
  </cols>
  <sheetData>
    <row r="1" spans="1:27" ht="24.6" customHeight="1" x14ac:dyDescent="0.3">
      <c r="A1" s="351" t="s">
        <v>110</v>
      </c>
      <c r="B1" s="351"/>
      <c r="C1" s="351"/>
      <c r="D1" s="351"/>
      <c r="E1" s="351"/>
      <c r="H1" s="401"/>
      <c r="I1" s="401"/>
      <c r="J1" s="401"/>
      <c r="K1" s="401"/>
      <c r="L1" s="161"/>
      <c r="M1" s="163">
        <v>36161</v>
      </c>
      <c r="N1" s="163">
        <v>36162</v>
      </c>
      <c r="O1" s="163">
        <v>37895</v>
      </c>
      <c r="P1" s="163">
        <v>41275</v>
      </c>
      <c r="Q1" s="161"/>
      <c r="R1" s="165">
        <v>0.09</v>
      </c>
      <c r="S1" s="165">
        <v>0.12</v>
      </c>
      <c r="T1" s="166">
        <v>300</v>
      </c>
      <c r="U1" s="161"/>
      <c r="V1" s="161"/>
      <c r="W1" s="161"/>
      <c r="X1" s="161"/>
      <c r="Y1" s="161"/>
      <c r="Z1" s="161"/>
      <c r="AA1" s="160"/>
    </row>
    <row r="2" spans="1:27" ht="24" customHeight="1" thickBot="1" x14ac:dyDescent="0.35">
      <c r="A2" s="351"/>
      <c r="B2" s="351"/>
      <c r="C2" s="351"/>
      <c r="D2" s="351"/>
      <c r="E2" s="351"/>
      <c r="G2" s="408" t="s">
        <v>102</v>
      </c>
      <c r="H2" s="408"/>
      <c r="I2" s="408"/>
      <c r="J2" s="408"/>
      <c r="K2" s="408"/>
      <c r="L2" s="161"/>
      <c r="M2" s="163"/>
      <c r="N2" s="163"/>
      <c r="O2" s="163"/>
      <c r="P2" s="163"/>
      <c r="Q2" s="161"/>
      <c r="R2" s="165"/>
      <c r="S2" s="165"/>
      <c r="T2" s="166"/>
      <c r="U2" s="161"/>
      <c r="V2" s="161"/>
      <c r="W2" s="161"/>
      <c r="X2" s="161"/>
      <c r="Y2" s="161"/>
      <c r="Z2" s="161"/>
      <c r="AA2" s="160"/>
    </row>
    <row r="3" spans="1:27" ht="31.2" customHeight="1" thickBot="1" x14ac:dyDescent="0.35">
      <c r="A3" s="403" t="s">
        <v>88</v>
      </c>
      <c r="B3" s="404"/>
      <c r="C3" s="189" t="s">
        <v>14</v>
      </c>
      <c r="D3" s="185" t="s">
        <v>0</v>
      </c>
      <c r="E3" s="188" t="s">
        <v>32</v>
      </c>
      <c r="G3" s="178" t="s">
        <v>100</v>
      </c>
      <c r="H3" s="48" t="s">
        <v>15</v>
      </c>
      <c r="I3" s="49" t="s">
        <v>16</v>
      </c>
      <c r="J3" s="50" t="s">
        <v>17</v>
      </c>
      <c r="K3" s="51" t="s">
        <v>26</v>
      </c>
      <c r="L3" s="52"/>
      <c r="M3" s="163"/>
      <c r="N3" s="163"/>
      <c r="O3" s="163"/>
      <c r="P3" s="163"/>
      <c r="Q3" s="161"/>
      <c r="R3" s="165"/>
      <c r="S3" s="165"/>
      <c r="T3" s="166"/>
      <c r="U3" s="161"/>
      <c r="V3" s="161"/>
      <c r="W3" s="161"/>
      <c r="X3" s="161"/>
      <c r="Y3" s="161"/>
      <c r="Z3" s="161"/>
      <c r="AA3" s="160"/>
    </row>
    <row r="4" spans="1:27" ht="31.2" customHeight="1" thickBot="1" x14ac:dyDescent="0.35">
      <c r="A4" s="405" t="s">
        <v>105</v>
      </c>
      <c r="B4" s="406"/>
      <c r="C4" s="194"/>
      <c r="D4" s="190"/>
      <c r="E4" s="370" t="str">
        <f>IF(AND($C$4&lt;$N$1,$C$4&lt;&gt;""),"art. 15",IF(AND($C$4&gt;$M$1,$C$4&lt;$P$1,$C$4&lt;&gt;""),"art. 15a",IF($C$4="","proszę obowiązkowo wprowadzić do komórki C4 datę wstąpienia po raz pierwszy do służby","poza zakresem")))</f>
        <v>proszę obowiązkowo wprowadzić do komórki C4 datę wstąpienia po raz pierwszy do służby</v>
      </c>
      <c r="G4" s="55" t="s">
        <v>34</v>
      </c>
      <c r="H4" s="56">
        <f>C97</f>
        <v>0</v>
      </c>
      <c r="I4" s="57">
        <f>D97</f>
        <v>0</v>
      </c>
      <c r="J4" s="58">
        <f>E97</f>
        <v>0</v>
      </c>
      <c r="K4" s="180" t="str">
        <f>IF(C102&lt;15,"brak prawa",IF(AND(H5&lt;3,(J4+J5)&gt;30),ROUND(0.4+(H4-15)*0.026+(I4+1)*0.026/12,4),ROUND(0.4+(H4-15)*0.026+I4*0.026/12,4)))</f>
        <v>brak prawa</v>
      </c>
      <c r="L4" s="24" t="str">
        <f>IF(AND(H5&lt;3,(J4+J5)&gt;30),"+1 mies. po 2,6% za sumę dni","")</f>
        <v/>
      </c>
      <c r="M4" s="163"/>
      <c r="N4" s="163"/>
      <c r="O4" s="163"/>
      <c r="P4" s="163"/>
      <c r="Q4" s="161"/>
      <c r="R4" s="165"/>
      <c r="S4" s="165"/>
      <c r="T4" s="166"/>
      <c r="U4" s="161"/>
      <c r="V4" s="161"/>
      <c r="W4" s="161"/>
      <c r="X4" s="161"/>
      <c r="Y4" s="161"/>
      <c r="Z4" s="161"/>
      <c r="AA4" s="160"/>
    </row>
    <row r="5" spans="1:27" ht="31.2" customHeight="1" thickBot="1" x14ac:dyDescent="0.35">
      <c r="A5" s="365" t="s">
        <v>81</v>
      </c>
      <c r="B5" s="407"/>
      <c r="C5" s="195" t="str">
        <f>IF('Podstawa wymiaru 10 lat SM'!$A$69="","",'Podstawa wymiaru 10 lat SM'!$A$69)</f>
        <v/>
      </c>
      <c r="D5" s="186" t="s">
        <v>74</v>
      </c>
      <c r="E5" s="371"/>
      <c r="G5" s="59" t="s">
        <v>19</v>
      </c>
      <c r="H5" s="60">
        <f>IF(AND($C$4&lt;$N$1,$C$4&lt;&gt;""),C41,0)</f>
        <v>0</v>
      </c>
      <c r="I5" s="61">
        <f>IF(AND($C$4&lt;$N$1,$C$4&lt;&gt;""),D41,0)</f>
        <v>0</v>
      </c>
      <c r="J5" s="62">
        <f>IF(AND($C$4&lt;$N$1,$C$4&lt;&gt;""),E41,0)</f>
        <v>0</v>
      </c>
      <c r="K5" s="23">
        <f>IF(H5&lt;3,ROUND(H5*0.026+I5*0.026/12,4),ROUND(0.078+(H5-3)*0.013+I5*0.013/12,4))</f>
        <v>0</v>
      </c>
      <c r="L5" s="15" t="str">
        <f>IF($E$4="art. 15a","nie dolicza się - art. 15a","")</f>
        <v/>
      </c>
      <c r="M5" s="163"/>
      <c r="N5" s="163"/>
      <c r="O5" s="163"/>
      <c r="P5" s="163"/>
      <c r="Q5" s="161"/>
      <c r="R5" s="165"/>
      <c r="S5" s="165"/>
      <c r="T5" s="166"/>
      <c r="U5" s="161"/>
      <c r="V5" s="161"/>
      <c r="W5" s="161"/>
      <c r="X5" s="161"/>
      <c r="Y5" s="161"/>
      <c r="Z5" s="161"/>
      <c r="AA5" s="160"/>
    </row>
    <row r="6" spans="1:27" ht="31.2" customHeight="1" thickBot="1" x14ac:dyDescent="0.35">
      <c r="A6" s="173"/>
      <c r="B6" s="173"/>
      <c r="C6" s="173"/>
      <c r="D6" s="173"/>
      <c r="E6" s="173"/>
      <c r="G6" s="63" t="s">
        <v>20</v>
      </c>
      <c r="H6" s="64">
        <f>IF(AND($C$4&lt;$N$1,$C$4&lt;&gt;""),C56,0)</f>
        <v>0</v>
      </c>
      <c r="I6" s="65">
        <f>IF(AND($C$4&lt;$N$1,$C$4&lt;&gt;""),D56,0)</f>
        <v>0</v>
      </c>
      <c r="J6" s="66">
        <f>IF(AND($C$4&lt;$N$1,$C$4&lt;&gt;""),E56,0)</f>
        <v>0</v>
      </c>
      <c r="K6" s="19">
        <f>ROUND(H6*0.007+I6*0.007/12,4)</f>
        <v>0</v>
      </c>
      <c r="L6" s="15" t="str">
        <f>IF($E$4="art. 15a","nie dolicza się - art. 15a","")</f>
        <v/>
      </c>
      <c r="M6" s="163"/>
      <c r="N6" s="163"/>
      <c r="O6" s="163"/>
      <c r="P6" s="163"/>
      <c r="Q6" s="161"/>
      <c r="R6" s="165"/>
      <c r="S6" s="165"/>
      <c r="T6" s="166"/>
      <c r="U6" s="161"/>
      <c r="V6" s="161"/>
      <c r="W6" s="161"/>
      <c r="X6" s="161"/>
      <c r="Y6" s="161"/>
      <c r="Z6" s="161"/>
      <c r="AA6" s="160"/>
    </row>
    <row r="7" spans="1:27" ht="31.2" customHeight="1" thickBot="1" x14ac:dyDescent="0.35">
      <c r="A7" s="352" t="s">
        <v>109</v>
      </c>
      <c r="B7" s="352"/>
      <c r="C7" s="352"/>
      <c r="D7" s="352"/>
      <c r="E7" s="352"/>
      <c r="G7" s="68"/>
      <c r="H7" s="367" t="s">
        <v>98</v>
      </c>
      <c r="I7" s="368"/>
      <c r="J7" s="369"/>
      <c r="K7" s="19">
        <f>MIN(SUM(K4:K6),0.75)</f>
        <v>0</v>
      </c>
      <c r="L7" s="67"/>
      <c r="M7" s="163"/>
      <c r="N7" s="163"/>
      <c r="O7" s="163"/>
      <c r="P7" s="163"/>
      <c r="Q7" s="161"/>
      <c r="R7" s="165"/>
      <c r="S7" s="165"/>
      <c r="T7" s="166"/>
      <c r="U7" s="161"/>
      <c r="V7" s="161"/>
      <c r="W7" s="161"/>
      <c r="X7" s="161"/>
      <c r="Y7" s="161"/>
      <c r="Z7" s="161"/>
      <c r="AA7" s="160"/>
    </row>
    <row r="8" spans="1:27" ht="19.95" customHeight="1" thickBot="1" x14ac:dyDescent="0.35">
      <c r="A8" s="336" t="s">
        <v>48</v>
      </c>
      <c r="B8" s="337"/>
      <c r="C8" s="337"/>
      <c r="D8" s="337"/>
      <c r="E8" s="338"/>
      <c r="G8" s="68"/>
      <c r="H8" s="30"/>
      <c r="I8" s="30"/>
      <c r="J8" s="69"/>
      <c r="K8" s="70"/>
      <c r="L8" s="67"/>
      <c r="M8" s="34"/>
    </row>
    <row r="9" spans="1:27" ht="22.95" customHeight="1" thickBot="1" x14ac:dyDescent="0.35">
      <c r="A9" s="262" t="s">
        <v>30</v>
      </c>
      <c r="B9" s="263" t="s">
        <v>31</v>
      </c>
      <c r="C9" s="35" t="s">
        <v>25</v>
      </c>
      <c r="D9" s="37" t="s">
        <v>27</v>
      </c>
      <c r="E9" s="36" t="s">
        <v>17</v>
      </c>
      <c r="G9" s="372" t="s">
        <v>89</v>
      </c>
      <c r="H9" s="146" t="s">
        <v>15</v>
      </c>
      <c r="I9" s="49" t="s">
        <v>16</v>
      </c>
      <c r="J9" s="147" t="s">
        <v>17</v>
      </c>
      <c r="M9" s="34"/>
    </row>
    <row r="10" spans="1:27" ht="22.95" customHeight="1" thickBot="1" x14ac:dyDescent="0.35">
      <c r="A10" s="264"/>
      <c r="B10" s="265"/>
      <c r="C10" s="259">
        <f>IF((ISBLANK(A10)=TRUE),0,DATEDIF(A10,B10+1,"Y"))</f>
        <v>0</v>
      </c>
      <c r="D10" s="41">
        <f>IF((ISBLANK(A10)=TRUE),0,DATEDIF(A10,B10+1,"YM"))</f>
        <v>0</v>
      </c>
      <c r="E10" s="42">
        <f>IF((ISBLANK(A10)=TRUE),0,DATEDIF(A10,B10+1,"MD"))</f>
        <v>0</v>
      </c>
      <c r="G10" s="373"/>
      <c r="H10" s="149">
        <f>IF($E4="art. 15",SUM(H4:H6)+INT((SUM(I4:I6)+INT(SUM(J4:J6)/30))/12),IF($E$4="art. 15a",SUM(H4:H4)+INT((SUM(I4:I4)+INT(SUM(J4:J4)/30))/12),0))</f>
        <v>0</v>
      </c>
      <c r="I10" s="149">
        <f>IF($E$4="art. 15",MOD(SUM(I4:I6)+INT(SUM(J4:J6)/30),12),IF($E$4="art. 15a",MOD(SUM(I4:I4)+INT(SUM(J4:J4)/30),12),0))</f>
        <v>0</v>
      </c>
      <c r="J10" s="150">
        <f>IF($E$4="art. 15",MOD(SUM(J4:J6),30),IF($E$4="art. 15a",MOD(SUM(J4:J4),30),0))</f>
        <v>0</v>
      </c>
      <c r="M10" s="34"/>
    </row>
    <row r="11" spans="1:27" ht="22.95" customHeight="1" x14ac:dyDescent="0.3">
      <c r="A11" s="266"/>
      <c r="B11" s="267"/>
      <c r="C11" s="260">
        <f>IF((ISBLANK(A11)=TRUE),0,DATEDIF(A11,B11+1,"Y"))</f>
        <v>0</v>
      </c>
      <c r="D11" s="45">
        <f>IF((ISBLANK(A11)=TRUE),0,DATEDIF(A11,B11+1,"YM"))</f>
        <v>0</v>
      </c>
      <c r="E11" s="46">
        <f>IF((ISBLANK(A11)=TRUE),0,DATEDIF(A11,B11+1,"MD"))</f>
        <v>0</v>
      </c>
      <c r="G11" s="47"/>
      <c r="H11" s="402"/>
      <c r="I11" s="402"/>
      <c r="J11" s="33"/>
      <c r="K11" s="34"/>
      <c r="L11" s="34"/>
      <c r="M11" s="34"/>
    </row>
    <row r="12" spans="1:27" ht="22.95" customHeight="1" x14ac:dyDescent="0.3">
      <c r="A12" s="266"/>
      <c r="B12" s="267"/>
      <c r="C12" s="260">
        <f>IF((ISBLANK(A12)=TRUE),0,DATEDIF(A12,B12+1,"Y"))</f>
        <v>0</v>
      </c>
      <c r="D12" s="45">
        <f>IF((ISBLANK(A12)=TRUE),0,DATEDIF(A12,B12+1,"YM"))</f>
        <v>0</v>
      </c>
      <c r="E12" s="46">
        <f>IF((ISBLANK(A12)=TRUE),0,DATEDIF(A12,B12+1,"MD"))</f>
        <v>0</v>
      </c>
      <c r="G12" s="359" t="s">
        <v>78</v>
      </c>
      <c r="H12" s="359"/>
      <c r="I12" s="359"/>
      <c r="J12" s="359"/>
      <c r="M12" s="52"/>
    </row>
    <row r="13" spans="1:27" ht="22.95" customHeight="1" thickBot="1" x14ac:dyDescent="0.35">
      <c r="A13" s="266"/>
      <c r="B13" s="267"/>
      <c r="C13" s="260">
        <f t="shared" ref="C13:C20" si="0">IF((ISBLANK(A13)=TRUE),0,DATEDIF(A13,B13+1,"Y"))</f>
        <v>0</v>
      </c>
      <c r="D13" s="45">
        <f t="shared" ref="D13:D20" si="1">IF((ISBLANK(A13)=TRUE),0,DATEDIF(A13,B13+1,"YM"))</f>
        <v>0</v>
      </c>
      <c r="E13" s="46">
        <f t="shared" ref="E13:E20" si="2">IF((ISBLANK(A13)=TRUE),0,DATEDIF(A13,B13+1,"MD"))</f>
        <v>0</v>
      </c>
      <c r="G13" s="409" t="str">
        <f>IF($E$4="art. 15","Obliczenie wysokości emerytury na podstawie art. 15 ustawy",IF($E$4="art. 15a","Obliczenie wysokości emerytury na podstawie art. 15a ustawy",""))</f>
        <v/>
      </c>
      <c r="H13" s="409"/>
      <c r="I13" s="409"/>
      <c r="J13" s="409"/>
      <c r="K13" s="171"/>
      <c r="M13" s="15"/>
    </row>
    <row r="14" spans="1:27" ht="22.95" customHeight="1" thickBot="1" x14ac:dyDescent="0.35">
      <c r="A14" s="266"/>
      <c r="B14" s="267"/>
      <c r="C14" s="260">
        <f t="shared" si="0"/>
        <v>0</v>
      </c>
      <c r="D14" s="45">
        <f t="shared" si="1"/>
        <v>0</v>
      </c>
      <c r="E14" s="46">
        <f t="shared" si="2"/>
        <v>0</v>
      </c>
      <c r="G14" s="374" t="s">
        <v>93</v>
      </c>
      <c r="H14" s="375"/>
      <c r="I14" s="375"/>
      <c r="J14" s="376"/>
      <c r="K14" s="254">
        <f>'Podstawa wymiaru 10 lat SM'!$D$70</f>
        <v>0</v>
      </c>
      <c r="M14" s="15"/>
    </row>
    <row r="15" spans="1:27" ht="22.95" customHeight="1" thickBot="1" x14ac:dyDescent="0.35">
      <c r="A15" s="266"/>
      <c r="B15" s="267"/>
      <c r="C15" s="260">
        <f t="shared" si="0"/>
        <v>0</v>
      </c>
      <c r="D15" s="45">
        <f t="shared" si="1"/>
        <v>0</v>
      </c>
      <c r="E15" s="46">
        <f t="shared" si="2"/>
        <v>0</v>
      </c>
      <c r="G15" s="330" t="s">
        <v>90</v>
      </c>
      <c r="H15" s="331"/>
      <c r="I15" s="331"/>
      <c r="J15" s="332"/>
      <c r="K15" s="196"/>
      <c r="L15" s="184" t="str">
        <f>IF($H$10&lt;32,"wysługa (H10) &lt;32 lata","")</f>
        <v>wysługa (H10) &lt;32 lata</v>
      </c>
      <c r="M15" s="67"/>
    </row>
    <row r="16" spans="1:27" ht="22.95" customHeight="1" thickBot="1" x14ac:dyDescent="0.35">
      <c r="A16" s="266"/>
      <c r="B16" s="267"/>
      <c r="C16" s="260">
        <f t="shared" si="0"/>
        <v>0</v>
      </c>
      <c r="D16" s="45">
        <f>IF((ISBLANK(A16)=TRUE),0,DATEDIF(A16,B16+1,"YM"))</f>
        <v>0</v>
      </c>
      <c r="E16" s="46">
        <f>IF((ISBLANK(A16)=TRUE),0,DATEDIF(A16,B16+1,"MD"))</f>
        <v>0</v>
      </c>
      <c r="G16" s="333" t="s">
        <v>92</v>
      </c>
      <c r="H16" s="334"/>
      <c r="I16" s="334"/>
      <c r="J16" s="335"/>
      <c r="K16" s="255">
        <f>K14+K15</f>
        <v>0</v>
      </c>
      <c r="M16" s="67"/>
    </row>
    <row r="17" spans="1:14" ht="22.95" customHeight="1" thickBot="1" x14ac:dyDescent="0.35">
      <c r="A17" s="266"/>
      <c r="B17" s="267"/>
      <c r="C17" s="260">
        <f t="shared" si="0"/>
        <v>0</v>
      </c>
      <c r="D17" s="45">
        <f>IF((ISBLANK(A17)=TRUE),0,DATEDIF(A17,B17+1,"YM"))</f>
        <v>0</v>
      </c>
      <c r="E17" s="46">
        <f>IF((ISBLANK(A17)=TRUE),0,DATEDIF(A17,B17+1,"MD"))</f>
        <v>0</v>
      </c>
      <c r="G17" s="353" t="s">
        <v>24</v>
      </c>
      <c r="H17" s="354"/>
      <c r="I17" s="354"/>
      <c r="J17" s="355"/>
      <c r="K17" s="8">
        <f>K7</f>
        <v>0</v>
      </c>
      <c r="M17" s="67"/>
    </row>
    <row r="18" spans="1:14" ht="22.95" customHeight="1" thickBot="1" x14ac:dyDescent="0.35">
      <c r="A18" s="266"/>
      <c r="B18" s="267"/>
      <c r="C18" s="260">
        <f t="shared" si="0"/>
        <v>0</v>
      </c>
      <c r="D18" s="45">
        <f t="shared" si="1"/>
        <v>0</v>
      </c>
      <c r="E18" s="46">
        <f t="shared" si="2"/>
        <v>0</v>
      </c>
      <c r="G18" s="356" t="s">
        <v>73</v>
      </c>
      <c r="H18" s="357"/>
      <c r="I18" s="357"/>
      <c r="J18" s="358"/>
      <c r="K18" s="162">
        <f>ROUND(K16*K17,2)</f>
        <v>0</v>
      </c>
      <c r="N18" s="67"/>
    </row>
    <row r="19" spans="1:14" ht="22.95" customHeight="1" x14ac:dyDescent="0.3">
      <c r="A19" s="266"/>
      <c r="B19" s="267"/>
      <c r="C19" s="260">
        <f t="shared" si="0"/>
        <v>0</v>
      </c>
      <c r="D19" s="45">
        <f t="shared" si="1"/>
        <v>0</v>
      </c>
      <c r="E19" s="46">
        <f t="shared" si="2"/>
        <v>0</v>
      </c>
      <c r="G19" s="343" t="s">
        <v>58</v>
      </c>
      <c r="H19" s="344"/>
      <c r="I19" s="344"/>
      <c r="J19" s="345"/>
      <c r="K19" s="16">
        <f>MAX(ROUND(K18*$R$1,2),0)</f>
        <v>0</v>
      </c>
      <c r="N19" s="67"/>
    </row>
    <row r="20" spans="1:14" ht="22.95" customHeight="1" thickBot="1" x14ac:dyDescent="0.35">
      <c r="A20" s="268"/>
      <c r="B20" s="269"/>
      <c r="C20" s="261">
        <f t="shared" si="0"/>
        <v>0</v>
      </c>
      <c r="D20" s="74">
        <f t="shared" si="1"/>
        <v>0</v>
      </c>
      <c r="E20" s="75">
        <f t="shared" si="2"/>
        <v>0</v>
      </c>
      <c r="G20" s="346" t="s">
        <v>59</v>
      </c>
      <c r="H20" s="347"/>
      <c r="I20" s="347"/>
      <c r="J20" s="348"/>
      <c r="K20" s="17">
        <f>MAX(ROUND(ROUND(K18,0)*$S$1-$T$1,0),0)</f>
        <v>0</v>
      </c>
      <c r="N20" s="67"/>
    </row>
    <row r="21" spans="1:14" ht="22.95" customHeight="1" thickBot="1" x14ac:dyDescent="0.35">
      <c r="A21" s="399" t="s">
        <v>28</v>
      </c>
      <c r="B21" s="400"/>
      <c r="C21" s="76">
        <f>SUM(C10:C20)+INT((SUM(D10:D20)+INT(SUM(E10:E20)/30))/12)</f>
        <v>0</v>
      </c>
      <c r="D21" s="76">
        <f>MOD(SUM(D10:D20)+INT(SUM(E10:E20)/30),12)</f>
        <v>0</v>
      </c>
      <c r="E21" s="77">
        <f>MOD(SUM(E10:E20),30)</f>
        <v>0</v>
      </c>
      <c r="G21" s="339" t="s">
        <v>72</v>
      </c>
      <c r="H21" s="340"/>
      <c r="I21" s="340"/>
      <c r="J21" s="341"/>
      <c r="K21" s="18">
        <f>K18-K19-K20</f>
        <v>0</v>
      </c>
      <c r="N21" s="67"/>
    </row>
    <row r="22" spans="1:14" ht="22.95" customHeight="1" thickBot="1" x14ac:dyDescent="0.35">
      <c r="A22" s="152"/>
      <c r="B22" s="152"/>
      <c r="C22" s="152"/>
      <c r="D22" s="152"/>
      <c r="E22" s="152"/>
      <c r="G22" s="82"/>
      <c r="K22" s="152"/>
    </row>
    <row r="23" spans="1:14" ht="22.95" customHeight="1" thickBot="1" x14ac:dyDescent="0.35">
      <c r="A23" s="386" t="s">
        <v>49</v>
      </c>
      <c r="B23" s="392"/>
      <c r="C23" s="392"/>
      <c r="D23" s="392"/>
      <c r="E23" s="393"/>
      <c r="G23" s="410" t="s">
        <v>95</v>
      </c>
      <c r="H23" s="410"/>
      <c r="I23" s="410"/>
      <c r="J23" s="410"/>
      <c r="K23" s="410"/>
    </row>
    <row r="24" spans="1:14" ht="22.95" customHeight="1" thickBot="1" x14ac:dyDescent="0.35">
      <c r="A24" s="78" t="s">
        <v>30</v>
      </c>
      <c r="B24" s="79" t="s">
        <v>31</v>
      </c>
      <c r="C24" s="78" t="s">
        <v>25</v>
      </c>
      <c r="D24" s="80" t="s">
        <v>27</v>
      </c>
      <c r="E24" s="81" t="s">
        <v>17</v>
      </c>
      <c r="G24" s="410"/>
      <c r="H24" s="410"/>
      <c r="I24" s="410"/>
      <c r="J24" s="410"/>
      <c r="K24" s="410"/>
      <c r="L24" s="151"/>
    </row>
    <row r="25" spans="1:14" ht="22.95" customHeight="1" x14ac:dyDescent="0.3">
      <c r="A25" s="264"/>
      <c r="B25" s="265"/>
      <c r="C25" s="40">
        <f>IF((ISBLANK(A25)=TRUE),0,DATEDIF(A25,B25+1,"Y"))</f>
        <v>0</v>
      </c>
      <c r="D25" s="41">
        <f t="shared" ref="D25:D40" si="3">IF((ISBLANK(A25)=TRUE),0,DATEDIF(A25,B25+1,"YM"))</f>
        <v>0</v>
      </c>
      <c r="E25" s="42">
        <f t="shared" ref="E25:E40" si="4">IF((ISBLANK(A25)=TRUE),0,DATEDIF(A25,B25+1,"MD"))</f>
        <v>0</v>
      </c>
      <c r="G25" s="410"/>
      <c r="H25" s="410"/>
      <c r="I25" s="410"/>
      <c r="J25" s="410"/>
      <c r="K25" s="410"/>
    </row>
    <row r="26" spans="1:14" ht="22.95" customHeight="1" x14ac:dyDescent="0.3">
      <c r="A26" s="266"/>
      <c r="B26" s="267"/>
      <c r="C26" s="44">
        <f>IF((ISBLANK(A26)=TRUE),0,DATEDIF(A26,B26+1,"Y"))</f>
        <v>0</v>
      </c>
      <c r="D26" s="45">
        <f t="shared" si="3"/>
        <v>0</v>
      </c>
      <c r="E26" s="46">
        <f t="shared" si="4"/>
        <v>0</v>
      </c>
    </row>
    <row r="27" spans="1:14" ht="22.95" customHeight="1" x14ac:dyDescent="0.3">
      <c r="A27" s="266"/>
      <c r="B27" s="267"/>
      <c r="C27" s="44">
        <f>IF((ISBLANK(A27)=TRUE),0,DATEDIF(A27,B27+1,"Y"))</f>
        <v>0</v>
      </c>
      <c r="D27" s="45">
        <f t="shared" si="3"/>
        <v>0</v>
      </c>
      <c r="E27" s="46">
        <f t="shared" si="4"/>
        <v>0</v>
      </c>
      <c r="G27" s="274" t="s">
        <v>61</v>
      </c>
      <c r="H27" s="274"/>
      <c r="I27" s="274"/>
      <c r="J27" s="274"/>
      <c r="K27" s="274"/>
    </row>
    <row r="28" spans="1:14" ht="22.95" customHeight="1" x14ac:dyDescent="0.3">
      <c r="A28" s="266"/>
      <c r="B28" s="267"/>
      <c r="C28" s="44">
        <f t="shared" ref="C28:C40" si="5">IF((ISBLANK(A28)=TRUE),0,DATEDIF(A28,B28+1,"Y"))</f>
        <v>0</v>
      </c>
      <c r="D28" s="45">
        <f t="shared" si="3"/>
        <v>0</v>
      </c>
      <c r="E28" s="46">
        <f t="shared" si="4"/>
        <v>0</v>
      </c>
      <c r="G28" s="274"/>
      <c r="H28" s="274"/>
      <c r="I28" s="274"/>
      <c r="J28" s="274"/>
      <c r="K28" s="274"/>
    </row>
    <row r="29" spans="1:14" ht="22.95" customHeight="1" x14ac:dyDescent="0.3">
      <c r="A29" s="266"/>
      <c r="B29" s="267"/>
      <c r="C29" s="44">
        <f t="shared" si="5"/>
        <v>0</v>
      </c>
      <c r="D29" s="45">
        <f t="shared" si="3"/>
        <v>0</v>
      </c>
      <c r="E29" s="46">
        <f t="shared" si="4"/>
        <v>0</v>
      </c>
      <c r="G29" s="274"/>
      <c r="H29" s="274"/>
      <c r="I29" s="274"/>
      <c r="J29" s="274"/>
      <c r="K29" s="274"/>
      <c r="M29" s="43"/>
      <c r="N29" s="14"/>
    </row>
    <row r="30" spans="1:14" ht="22.95" customHeight="1" x14ac:dyDescent="0.3">
      <c r="A30" s="266"/>
      <c r="B30" s="267"/>
      <c r="C30" s="44">
        <f t="shared" si="5"/>
        <v>0</v>
      </c>
      <c r="D30" s="45">
        <f t="shared" si="3"/>
        <v>0</v>
      </c>
      <c r="E30" s="46">
        <f t="shared" si="4"/>
        <v>0</v>
      </c>
      <c r="L30" s="152"/>
      <c r="M30" s="14"/>
      <c r="N30" s="43"/>
    </row>
    <row r="31" spans="1:14" ht="22.95" customHeight="1" x14ac:dyDescent="0.3">
      <c r="A31" s="266"/>
      <c r="B31" s="267"/>
      <c r="C31" s="44">
        <f t="shared" ref="C31:C36" si="6">IF((ISBLANK(A31)=TRUE),0,DATEDIF(A31,B31+1,"Y"))</f>
        <v>0</v>
      </c>
      <c r="D31" s="45">
        <f t="shared" ref="D31:D36" si="7">IF((ISBLANK(A31)=TRUE),0,DATEDIF(A31,B31+1,"YM"))</f>
        <v>0</v>
      </c>
      <c r="E31" s="46">
        <f t="shared" ref="E31:E36" si="8">IF((ISBLANK(A31)=TRUE),0,DATEDIF(A31,B31+1,"MD"))</f>
        <v>0</v>
      </c>
      <c r="L31" s="152"/>
    </row>
    <row r="32" spans="1:14" ht="22.95" customHeight="1" x14ac:dyDescent="0.3">
      <c r="A32" s="266"/>
      <c r="B32" s="267"/>
      <c r="C32" s="44">
        <f t="shared" si="6"/>
        <v>0</v>
      </c>
      <c r="D32" s="45">
        <f t="shared" si="7"/>
        <v>0</v>
      </c>
      <c r="E32" s="46">
        <f t="shared" si="8"/>
        <v>0</v>
      </c>
      <c r="L32" s="152"/>
    </row>
    <row r="33" spans="1:12" ht="22.95" customHeight="1" x14ac:dyDescent="0.3">
      <c r="A33" s="266"/>
      <c r="B33" s="267"/>
      <c r="C33" s="44">
        <f t="shared" si="6"/>
        <v>0</v>
      </c>
      <c r="D33" s="45">
        <f t="shared" si="7"/>
        <v>0</v>
      </c>
      <c r="E33" s="46">
        <f t="shared" si="8"/>
        <v>0</v>
      </c>
      <c r="L33" s="152"/>
    </row>
    <row r="34" spans="1:12" ht="22.95" customHeight="1" x14ac:dyDescent="0.3">
      <c r="A34" s="266"/>
      <c r="B34" s="267"/>
      <c r="C34" s="44">
        <f t="shared" si="6"/>
        <v>0</v>
      </c>
      <c r="D34" s="45">
        <f t="shared" si="7"/>
        <v>0</v>
      </c>
      <c r="E34" s="46">
        <f t="shared" si="8"/>
        <v>0</v>
      </c>
      <c r="L34" s="152"/>
    </row>
    <row r="35" spans="1:12" ht="22.95" customHeight="1" x14ac:dyDescent="0.3">
      <c r="A35" s="266"/>
      <c r="B35" s="267"/>
      <c r="C35" s="44">
        <f t="shared" si="6"/>
        <v>0</v>
      </c>
      <c r="D35" s="45">
        <f t="shared" si="7"/>
        <v>0</v>
      </c>
      <c r="E35" s="46">
        <f t="shared" si="8"/>
        <v>0</v>
      </c>
      <c r="L35" s="152"/>
    </row>
    <row r="36" spans="1:12" ht="22.95" customHeight="1" x14ac:dyDescent="0.3">
      <c r="A36" s="266"/>
      <c r="B36" s="267"/>
      <c r="C36" s="44">
        <f t="shared" si="6"/>
        <v>0</v>
      </c>
      <c r="D36" s="45">
        <f t="shared" si="7"/>
        <v>0</v>
      </c>
      <c r="E36" s="46">
        <f t="shared" si="8"/>
        <v>0</v>
      </c>
      <c r="L36" s="152"/>
    </row>
    <row r="37" spans="1:12" ht="22.95" customHeight="1" x14ac:dyDescent="0.3">
      <c r="A37" s="266"/>
      <c r="B37" s="267"/>
      <c r="C37" s="44">
        <f t="shared" si="5"/>
        <v>0</v>
      </c>
      <c r="D37" s="45">
        <f t="shared" si="3"/>
        <v>0</v>
      </c>
      <c r="E37" s="46">
        <f t="shared" si="4"/>
        <v>0</v>
      </c>
      <c r="G37" s="154"/>
      <c r="H37" s="154"/>
      <c r="I37" s="69"/>
      <c r="J37" s="69"/>
      <c r="K37" s="14"/>
      <c r="L37" s="83"/>
    </row>
    <row r="38" spans="1:12" ht="22.95" customHeight="1" x14ac:dyDescent="0.3">
      <c r="A38" s="266"/>
      <c r="B38" s="267"/>
      <c r="C38" s="44">
        <f t="shared" si="5"/>
        <v>0</v>
      </c>
      <c r="D38" s="45">
        <f t="shared" si="3"/>
        <v>0</v>
      </c>
      <c r="E38" s="46">
        <f t="shared" si="4"/>
        <v>0</v>
      </c>
      <c r="G38" s="14"/>
      <c r="H38" s="69"/>
      <c r="I38" s="69"/>
      <c r="J38" s="69"/>
      <c r="K38" s="14"/>
      <c r="L38" s="83"/>
    </row>
    <row r="39" spans="1:12" ht="22.95" customHeight="1" x14ac:dyDescent="0.3">
      <c r="A39" s="266"/>
      <c r="B39" s="267"/>
      <c r="C39" s="44">
        <f t="shared" si="5"/>
        <v>0</v>
      </c>
      <c r="D39" s="45">
        <f t="shared" si="3"/>
        <v>0</v>
      </c>
      <c r="E39" s="46">
        <f t="shared" si="4"/>
        <v>0</v>
      </c>
      <c r="G39" s="157"/>
      <c r="H39" s="157"/>
      <c r="I39" s="157"/>
      <c r="J39" s="157"/>
      <c r="K39" s="14"/>
    </row>
    <row r="40" spans="1:12" ht="22.95" customHeight="1" thickBot="1" x14ac:dyDescent="0.35">
      <c r="A40" s="268"/>
      <c r="B40" s="269"/>
      <c r="C40" s="73">
        <f t="shared" si="5"/>
        <v>0</v>
      </c>
      <c r="D40" s="74">
        <f t="shared" si="3"/>
        <v>0</v>
      </c>
      <c r="E40" s="75">
        <f t="shared" si="4"/>
        <v>0</v>
      </c>
      <c r="G40" s="155"/>
      <c r="H40" s="155"/>
      <c r="I40" s="155"/>
      <c r="J40" s="155"/>
      <c r="K40" s="14"/>
    </row>
    <row r="41" spans="1:12" ht="22.95" customHeight="1" thickBot="1" x14ac:dyDescent="0.35">
      <c r="A41" s="386" t="s">
        <v>28</v>
      </c>
      <c r="B41" s="387"/>
      <c r="C41" s="84">
        <f>SUM(C25:C40)+INT((SUM(D25:D40)+INT(SUM(E25:E40)/30))/12)</f>
        <v>0</v>
      </c>
      <c r="D41" s="85">
        <f>MOD(SUM(D25:D40)+INT(SUM(E25:E40)/30),12)</f>
        <v>0</v>
      </c>
      <c r="E41" s="86">
        <f>MOD(SUM(E25:E40),30)</f>
        <v>0</v>
      </c>
      <c r="G41" s="156"/>
      <c r="H41" s="156"/>
      <c r="I41" s="156"/>
      <c r="J41" s="156"/>
      <c r="K41" s="14"/>
    </row>
    <row r="42" spans="1:12" ht="22.95" customHeight="1" thickBot="1" x14ac:dyDescent="0.35">
      <c r="A42" s="87"/>
      <c r="B42" s="87"/>
      <c r="C42" s="3"/>
      <c r="D42" s="3"/>
      <c r="E42" s="3"/>
      <c r="G42" s="153"/>
      <c r="H42" s="153"/>
      <c r="I42" s="153"/>
      <c r="J42" s="153"/>
      <c r="K42" s="14"/>
    </row>
    <row r="43" spans="1:12" ht="22.95" customHeight="1" thickBot="1" x14ac:dyDescent="0.35">
      <c r="A43" s="388" t="s">
        <v>50</v>
      </c>
      <c r="B43" s="394"/>
      <c r="C43" s="394"/>
      <c r="D43" s="394"/>
      <c r="E43" s="395"/>
      <c r="G43" s="153"/>
      <c r="H43" s="153"/>
      <c r="I43" s="153"/>
      <c r="J43" s="153"/>
      <c r="K43" s="14"/>
    </row>
    <row r="44" spans="1:12" ht="22.95" customHeight="1" thickBot="1" x14ac:dyDescent="0.35">
      <c r="A44" s="88" t="s">
        <v>30</v>
      </c>
      <c r="B44" s="89" t="s">
        <v>31</v>
      </c>
      <c r="C44" s="88" t="s">
        <v>25</v>
      </c>
      <c r="D44" s="90" t="s">
        <v>27</v>
      </c>
      <c r="E44" s="91" t="s">
        <v>17</v>
      </c>
      <c r="G44" s="153"/>
      <c r="H44" s="153"/>
      <c r="I44" s="153"/>
      <c r="J44" s="153"/>
      <c r="K44" s="14"/>
    </row>
    <row r="45" spans="1:12" ht="22.95" customHeight="1" x14ac:dyDescent="0.3">
      <c r="A45" s="264"/>
      <c r="B45" s="265"/>
      <c r="C45" s="40">
        <f>IF((ISBLANK(A45)=TRUE),0,DATEDIF(A45,B45+1,"Y"))</f>
        <v>0</v>
      </c>
      <c r="D45" s="41">
        <f t="shared" ref="D45:D55" si="9">IF((ISBLANK(A45)=TRUE),0,DATEDIF(A45,B45+1,"YM"))</f>
        <v>0</v>
      </c>
      <c r="E45" s="42">
        <f t="shared" ref="E45:E55" si="10">IF((ISBLANK(A45)=TRUE),0,DATEDIF(A45,B45+1,"MD"))</f>
        <v>0</v>
      </c>
      <c r="G45" s="153"/>
      <c r="H45" s="153"/>
      <c r="I45" s="153"/>
      <c r="J45" s="153"/>
      <c r="K45" s="14"/>
    </row>
    <row r="46" spans="1:12" ht="22.95" customHeight="1" x14ac:dyDescent="0.3">
      <c r="A46" s="266"/>
      <c r="B46" s="267"/>
      <c r="C46" s="44">
        <f>IF((ISBLANK(A46)=TRUE),0,DATEDIF(A46,B46+1,"Y"))</f>
        <v>0</v>
      </c>
      <c r="D46" s="45">
        <f t="shared" si="9"/>
        <v>0</v>
      </c>
      <c r="E46" s="46">
        <f t="shared" si="10"/>
        <v>0</v>
      </c>
      <c r="G46" s="153"/>
      <c r="H46" s="153"/>
      <c r="I46" s="153"/>
      <c r="J46" s="153"/>
      <c r="K46" s="14"/>
    </row>
    <row r="47" spans="1:12" ht="22.95" customHeight="1" x14ac:dyDescent="0.3">
      <c r="A47" s="266"/>
      <c r="B47" s="267"/>
      <c r="C47" s="44">
        <f>IF((ISBLANK(A47)=TRUE),0,DATEDIF(A47,B47+1,"Y"))</f>
        <v>0</v>
      </c>
      <c r="D47" s="45">
        <f t="shared" si="9"/>
        <v>0</v>
      </c>
      <c r="E47" s="46">
        <f t="shared" si="10"/>
        <v>0</v>
      </c>
      <c r="G47" s="14"/>
      <c r="H47" s="69"/>
      <c r="I47" s="69"/>
      <c r="J47" s="69"/>
      <c r="K47" s="14"/>
    </row>
    <row r="48" spans="1:12" ht="22.95" customHeight="1" x14ac:dyDescent="0.3">
      <c r="A48" s="266"/>
      <c r="B48" s="267"/>
      <c r="C48" s="44">
        <f t="shared" ref="C48:C55" si="11">IF((ISBLANK(A48)=TRUE),0,DATEDIF(A48,B48+1,"Y"))</f>
        <v>0</v>
      </c>
      <c r="D48" s="45">
        <f t="shared" si="9"/>
        <v>0</v>
      </c>
      <c r="E48" s="46">
        <f t="shared" si="10"/>
        <v>0</v>
      </c>
      <c r="G48" s="172"/>
      <c r="H48" s="172"/>
      <c r="I48" s="172"/>
      <c r="J48" s="172"/>
      <c r="K48" s="14"/>
    </row>
    <row r="49" spans="1:11" ht="22.95" customHeight="1" x14ac:dyDescent="0.3">
      <c r="A49" s="266"/>
      <c r="B49" s="267"/>
      <c r="C49" s="44">
        <f t="shared" si="11"/>
        <v>0</v>
      </c>
      <c r="D49" s="45">
        <f t="shared" si="9"/>
        <v>0</v>
      </c>
      <c r="E49" s="46">
        <f t="shared" si="10"/>
        <v>0</v>
      </c>
      <c r="G49" s="172"/>
      <c r="H49" s="172"/>
      <c r="I49" s="172"/>
      <c r="J49" s="172"/>
      <c r="K49" s="14"/>
    </row>
    <row r="50" spans="1:11" ht="22.95" customHeight="1" x14ac:dyDescent="0.3">
      <c r="A50" s="266"/>
      <c r="B50" s="267"/>
      <c r="C50" s="44">
        <f t="shared" si="11"/>
        <v>0</v>
      </c>
      <c r="D50" s="45">
        <f t="shared" si="9"/>
        <v>0</v>
      </c>
      <c r="E50" s="46">
        <f t="shared" si="10"/>
        <v>0</v>
      </c>
    </row>
    <row r="51" spans="1:11" ht="22.95" customHeight="1" x14ac:dyDescent="0.3">
      <c r="A51" s="266"/>
      <c r="B51" s="267"/>
      <c r="C51" s="44">
        <f t="shared" si="11"/>
        <v>0</v>
      </c>
      <c r="D51" s="45">
        <f t="shared" si="9"/>
        <v>0</v>
      </c>
      <c r="E51" s="46">
        <f t="shared" si="10"/>
        <v>0</v>
      </c>
      <c r="G51" s="172"/>
      <c r="H51" s="172"/>
      <c r="I51" s="172"/>
      <c r="J51" s="172"/>
      <c r="K51" s="14"/>
    </row>
    <row r="52" spans="1:11" ht="22.95" customHeight="1" x14ac:dyDescent="0.3">
      <c r="A52" s="266"/>
      <c r="B52" s="267"/>
      <c r="C52" s="44">
        <f t="shared" si="11"/>
        <v>0</v>
      </c>
      <c r="D52" s="45">
        <f t="shared" si="9"/>
        <v>0</v>
      </c>
      <c r="E52" s="46">
        <f t="shared" si="10"/>
        <v>0</v>
      </c>
      <c r="G52" s="102"/>
      <c r="H52" s="102"/>
      <c r="I52" s="102"/>
      <c r="J52" s="102"/>
      <c r="K52" s="14"/>
    </row>
    <row r="53" spans="1:11" ht="22.95" customHeight="1" x14ac:dyDescent="0.3">
      <c r="A53" s="266"/>
      <c r="B53" s="267"/>
      <c r="C53" s="44">
        <f t="shared" si="11"/>
        <v>0</v>
      </c>
      <c r="D53" s="45">
        <f t="shared" si="9"/>
        <v>0</v>
      </c>
      <c r="E53" s="46">
        <f t="shared" si="10"/>
        <v>0</v>
      </c>
      <c r="G53" s="47"/>
      <c r="H53" s="47"/>
      <c r="I53" s="47"/>
      <c r="J53" s="47"/>
      <c r="K53" s="14"/>
    </row>
    <row r="54" spans="1:11" ht="22.95" customHeight="1" x14ac:dyDescent="0.3">
      <c r="A54" s="266"/>
      <c r="B54" s="267"/>
      <c r="C54" s="44">
        <f t="shared" si="11"/>
        <v>0</v>
      </c>
      <c r="D54" s="45">
        <f t="shared" si="9"/>
        <v>0</v>
      </c>
      <c r="E54" s="46">
        <f t="shared" si="10"/>
        <v>0</v>
      </c>
      <c r="G54" s="103"/>
      <c r="H54" s="103"/>
      <c r="I54" s="103"/>
      <c r="J54" s="103"/>
      <c r="K54" s="14"/>
    </row>
    <row r="55" spans="1:11" ht="22.95" customHeight="1" thickBot="1" x14ac:dyDescent="0.35">
      <c r="A55" s="268"/>
      <c r="B55" s="269"/>
      <c r="C55" s="73">
        <f t="shared" si="11"/>
        <v>0</v>
      </c>
      <c r="D55" s="74">
        <f t="shared" si="9"/>
        <v>0</v>
      </c>
      <c r="E55" s="75">
        <f t="shared" si="10"/>
        <v>0</v>
      </c>
      <c r="G55" s="103"/>
      <c r="H55" s="103"/>
      <c r="I55" s="103"/>
      <c r="J55" s="103"/>
      <c r="K55" s="14"/>
    </row>
    <row r="56" spans="1:11" ht="22.95" customHeight="1" thickBot="1" x14ac:dyDescent="0.35">
      <c r="A56" s="388" t="s">
        <v>28</v>
      </c>
      <c r="B56" s="389"/>
      <c r="C56" s="92">
        <f>SUM(C45:C55)+INT((SUM(D45:D55)+INT(SUM(E45:E55)/30))/12)</f>
        <v>0</v>
      </c>
      <c r="D56" s="93">
        <f>MOD(SUM(D45:D55)+INT(SUM(E45:E55)/30),12)</f>
        <v>0</v>
      </c>
      <c r="E56" s="94">
        <f>MOD(SUM(E45:E55),30)</f>
        <v>0</v>
      </c>
      <c r="G56" s="14"/>
      <c r="H56" s="69"/>
      <c r="I56" s="69"/>
      <c r="J56" s="69"/>
      <c r="K56" s="14"/>
    </row>
    <row r="57" spans="1:11" ht="22.95" customHeight="1" thickBot="1" x14ac:dyDescent="0.35">
      <c r="A57" s="87"/>
      <c r="B57" s="87"/>
      <c r="C57" s="3"/>
      <c r="D57" s="3"/>
      <c r="E57" s="3"/>
      <c r="G57" s="14"/>
      <c r="H57" s="69"/>
      <c r="I57" s="69"/>
      <c r="J57" s="69"/>
      <c r="K57" s="14"/>
    </row>
    <row r="58" spans="1:11" ht="27.6" customHeight="1" thickBot="1" x14ac:dyDescent="0.35">
      <c r="A58" s="396" t="s">
        <v>112</v>
      </c>
      <c r="B58" s="397"/>
      <c r="C58" s="397"/>
      <c r="D58" s="397"/>
      <c r="E58" s="398"/>
      <c r="G58" s="14"/>
      <c r="H58" s="69"/>
      <c r="I58" s="69"/>
      <c r="J58" s="69"/>
      <c r="K58" s="14"/>
    </row>
    <row r="59" spans="1:11" ht="22.95" customHeight="1" thickBot="1" x14ac:dyDescent="0.35">
      <c r="A59" s="95" t="s">
        <v>30</v>
      </c>
      <c r="B59" s="96" t="s">
        <v>31</v>
      </c>
      <c r="C59" s="95" t="s">
        <v>25</v>
      </c>
      <c r="D59" s="97" t="s">
        <v>27</v>
      </c>
      <c r="E59" s="98" t="s">
        <v>17</v>
      </c>
      <c r="G59" s="14"/>
      <c r="H59" s="69"/>
      <c r="I59" s="69"/>
      <c r="J59" s="69"/>
      <c r="K59" s="14"/>
    </row>
    <row r="60" spans="1:11" ht="22.95" customHeight="1" x14ac:dyDescent="0.3">
      <c r="A60" s="264"/>
      <c r="B60" s="265"/>
      <c r="C60" s="99">
        <f>IF( B60&gt;$B$93,"błąd",IF((ISBLANK(A60)=TRUE),0,DATEDIF(A60,B60+1,"Y")))</f>
        <v>0</v>
      </c>
      <c r="D60" s="100">
        <f>IF(B60&gt;$B$93, "błąd",IF((ISBLANK(A60)=TRUE),0,DATEDIF(A60,B60+1,"YM")))</f>
        <v>0</v>
      </c>
      <c r="E60" s="101">
        <f>IF(B60&gt;$B$93,"błąd",IF((ISBLANK(A60)=TRUE),0,DATEDIF(A60,B60+1,"MD")))</f>
        <v>0</v>
      </c>
      <c r="G60" s="14"/>
      <c r="H60" s="69"/>
      <c r="I60" s="69"/>
      <c r="J60" s="69"/>
      <c r="K60" s="14"/>
    </row>
    <row r="61" spans="1:11" ht="22.95" customHeight="1" x14ac:dyDescent="0.3">
      <c r="A61" s="266"/>
      <c r="B61" s="267"/>
      <c r="C61" s="99">
        <f>IF( B61&gt;$B$93,"błąd",IF((ISBLANK(A61)=TRUE),0,DATEDIF(A61,B61+1,"Y")))</f>
        <v>0</v>
      </c>
      <c r="D61" s="100">
        <f>IF(B61&gt;$B$93, "błąd",IF((ISBLANK(A61)=TRUE),0,DATEDIF(A61,B61+1,"YM")))</f>
        <v>0</v>
      </c>
      <c r="E61" s="101">
        <f>IF(B61&gt;$B$93,"błąd",IF((ISBLANK(A61)=TRUE),0,DATEDIF(A61,B61+1,"MD")))</f>
        <v>0</v>
      </c>
      <c r="G61" s="14"/>
      <c r="H61" s="69"/>
      <c r="I61" s="69"/>
      <c r="J61" s="69"/>
      <c r="K61" s="14"/>
    </row>
    <row r="62" spans="1:11" ht="19.95" customHeight="1" x14ac:dyDescent="0.3">
      <c r="A62" s="266"/>
      <c r="B62" s="267"/>
      <c r="C62" s="99">
        <f>IF( B62&gt;$B$93,"błąd",IF((ISBLANK(A62)=TRUE),0,DATEDIF(A62,B62+1,"Y")))</f>
        <v>0</v>
      </c>
      <c r="D62" s="100">
        <f>IF(B62&gt;$B$93, "błąd",IF((ISBLANK(A62)=TRUE),0,DATEDIF(A62,B62+1,"YM")))</f>
        <v>0</v>
      </c>
      <c r="E62" s="101">
        <f>IF(B62&gt;$B$93,"błąd",IF((ISBLANK(A62)=TRUE),0,DATEDIF(A62,B62+1,"MD")))</f>
        <v>0</v>
      </c>
      <c r="H62" s="1"/>
      <c r="I62" s="1"/>
      <c r="J62" s="1"/>
    </row>
    <row r="63" spans="1:11" ht="19.95" customHeight="1" x14ac:dyDescent="0.3">
      <c r="A63" s="266"/>
      <c r="B63" s="267"/>
      <c r="C63" s="99">
        <f>IF( B63&gt;$B$93,"błąd",IF((ISBLANK(A63)=TRUE),0,DATEDIF(A63,B63+1,"Y")))</f>
        <v>0</v>
      </c>
      <c r="D63" s="100">
        <f>IF(B63&gt;$B$93, "błąd",IF((ISBLANK(A63)=TRUE),0,DATEDIF(A63,B63+1,"YM")))</f>
        <v>0</v>
      </c>
      <c r="E63" s="101">
        <f>IF(B63&gt;$B$93,"błąd",IF((ISBLANK(A63)=TRUE),0,DATEDIF(A63,B63+1,"MD")))</f>
        <v>0</v>
      </c>
      <c r="H63" s="1"/>
      <c r="I63" s="1"/>
      <c r="J63" s="1"/>
    </row>
    <row r="64" spans="1:11" ht="19.95" customHeight="1" x14ac:dyDescent="0.3">
      <c r="A64" s="266"/>
      <c r="B64" s="267"/>
      <c r="C64" s="99">
        <f>IF( B64&gt;$B$93,"błąd",IF((ISBLANK(A64)=TRUE),0,DATEDIF(A64,B64+1,"Y")))</f>
        <v>0</v>
      </c>
      <c r="D64" s="100">
        <f>IF(B64&gt;$B$93, "błąd",IF((ISBLANK(A64)=TRUE),0,DATEDIF(A64,B64+1,"YM")))</f>
        <v>0</v>
      </c>
      <c r="E64" s="101">
        <f>IF(B64&gt;$B$93,"błąd",IF((ISBLANK(A64)=TRUE),0,DATEDIF(A64,B64+1,"MD")))</f>
        <v>0</v>
      </c>
      <c r="H64" s="1"/>
      <c r="I64" s="1"/>
      <c r="J64" s="1"/>
    </row>
    <row r="65" spans="1:10" ht="19.95" customHeight="1" x14ac:dyDescent="0.3">
      <c r="A65" s="266"/>
      <c r="B65" s="267"/>
      <c r="C65" s="99">
        <f t="shared" ref="C65:C88" si="12">IF( B65&gt;$B$93,"błąd",IF((ISBLANK(A65)=TRUE),0,DATEDIF(A65,B65+1,"Y")))</f>
        <v>0</v>
      </c>
      <c r="D65" s="100">
        <f t="shared" ref="D65:D88" si="13">IF(B65&gt;$B$93, "błąd",IF((ISBLANK(A65)=TRUE),0,DATEDIF(A65,B65+1,"YM")))</f>
        <v>0</v>
      </c>
      <c r="E65" s="101">
        <f t="shared" ref="E65:E88" si="14">IF(B65&gt;$B$93,"błąd",IF((ISBLANK(A65)=TRUE),0,DATEDIF(A65,B65+1,"MD")))</f>
        <v>0</v>
      </c>
      <c r="H65" s="1"/>
      <c r="I65" s="1"/>
      <c r="J65" s="1"/>
    </row>
    <row r="66" spans="1:10" ht="19.95" customHeight="1" x14ac:dyDescent="0.3">
      <c r="A66" s="266"/>
      <c r="B66" s="267"/>
      <c r="C66" s="99">
        <f t="shared" si="12"/>
        <v>0</v>
      </c>
      <c r="D66" s="100">
        <f t="shared" si="13"/>
        <v>0</v>
      </c>
      <c r="E66" s="101">
        <f t="shared" si="14"/>
        <v>0</v>
      </c>
      <c r="H66" s="1"/>
      <c r="I66" s="1"/>
      <c r="J66" s="1"/>
    </row>
    <row r="67" spans="1:10" ht="19.95" customHeight="1" x14ac:dyDescent="0.3">
      <c r="A67" s="266"/>
      <c r="B67" s="267"/>
      <c r="C67" s="99">
        <f t="shared" si="12"/>
        <v>0</v>
      </c>
      <c r="D67" s="100">
        <f t="shared" si="13"/>
        <v>0</v>
      </c>
      <c r="E67" s="101">
        <f t="shared" si="14"/>
        <v>0</v>
      </c>
      <c r="H67" s="1"/>
      <c r="I67" s="1"/>
      <c r="J67" s="1"/>
    </row>
    <row r="68" spans="1:10" ht="19.95" customHeight="1" x14ac:dyDescent="0.3">
      <c r="A68" s="266"/>
      <c r="B68" s="267"/>
      <c r="C68" s="99">
        <f t="shared" si="12"/>
        <v>0</v>
      </c>
      <c r="D68" s="100">
        <f t="shared" si="13"/>
        <v>0</v>
      </c>
      <c r="E68" s="101">
        <f t="shared" si="14"/>
        <v>0</v>
      </c>
      <c r="H68" s="1"/>
      <c r="I68" s="1"/>
      <c r="J68" s="1"/>
    </row>
    <row r="69" spans="1:10" ht="19.95" customHeight="1" x14ac:dyDescent="0.3">
      <c r="A69" s="266"/>
      <c r="B69" s="267"/>
      <c r="C69" s="99">
        <f t="shared" si="12"/>
        <v>0</v>
      </c>
      <c r="D69" s="100">
        <f t="shared" si="13"/>
        <v>0</v>
      </c>
      <c r="E69" s="101">
        <f t="shared" si="14"/>
        <v>0</v>
      </c>
      <c r="H69" s="1"/>
      <c r="I69" s="1"/>
      <c r="J69" s="1"/>
    </row>
    <row r="70" spans="1:10" ht="19.95" customHeight="1" x14ac:dyDescent="0.3">
      <c r="A70" s="266"/>
      <c r="B70" s="267"/>
      <c r="C70" s="99">
        <f t="shared" si="12"/>
        <v>0</v>
      </c>
      <c r="D70" s="100">
        <f t="shared" si="13"/>
        <v>0</v>
      </c>
      <c r="E70" s="101">
        <f t="shared" si="14"/>
        <v>0</v>
      </c>
      <c r="H70" s="1"/>
      <c r="I70" s="1"/>
      <c r="J70" s="1"/>
    </row>
    <row r="71" spans="1:10" ht="19.95" customHeight="1" x14ac:dyDescent="0.3">
      <c r="A71" s="266"/>
      <c r="B71" s="267"/>
      <c r="C71" s="99">
        <f t="shared" si="12"/>
        <v>0</v>
      </c>
      <c r="D71" s="100">
        <f t="shared" si="13"/>
        <v>0</v>
      </c>
      <c r="E71" s="101">
        <f t="shared" si="14"/>
        <v>0</v>
      </c>
      <c r="H71" s="1"/>
      <c r="I71" s="1"/>
      <c r="J71" s="1"/>
    </row>
    <row r="72" spans="1:10" ht="19.95" customHeight="1" x14ac:dyDescent="0.3">
      <c r="A72" s="266"/>
      <c r="B72" s="267"/>
      <c r="C72" s="99">
        <f t="shared" si="12"/>
        <v>0</v>
      </c>
      <c r="D72" s="100">
        <f t="shared" si="13"/>
        <v>0</v>
      </c>
      <c r="E72" s="101">
        <f t="shared" si="14"/>
        <v>0</v>
      </c>
      <c r="H72" s="1"/>
      <c r="I72" s="1"/>
      <c r="J72" s="1"/>
    </row>
    <row r="73" spans="1:10" ht="19.95" customHeight="1" x14ac:dyDescent="0.3">
      <c r="A73" s="266"/>
      <c r="B73" s="267"/>
      <c r="C73" s="99">
        <f t="shared" si="12"/>
        <v>0</v>
      </c>
      <c r="D73" s="100">
        <f t="shared" si="13"/>
        <v>0</v>
      </c>
      <c r="E73" s="101">
        <f t="shared" si="14"/>
        <v>0</v>
      </c>
      <c r="H73" s="1"/>
      <c r="I73" s="1"/>
      <c r="J73" s="1"/>
    </row>
    <row r="74" spans="1:10" ht="19.95" customHeight="1" x14ac:dyDescent="0.3">
      <c r="A74" s="266"/>
      <c r="B74" s="267"/>
      <c r="C74" s="99">
        <f t="shared" si="12"/>
        <v>0</v>
      </c>
      <c r="D74" s="100">
        <f t="shared" si="13"/>
        <v>0</v>
      </c>
      <c r="E74" s="101">
        <f t="shared" si="14"/>
        <v>0</v>
      </c>
      <c r="H74" s="1"/>
      <c r="I74" s="1"/>
      <c r="J74" s="1"/>
    </row>
    <row r="75" spans="1:10" ht="19.95" customHeight="1" x14ac:dyDescent="0.3">
      <c r="A75" s="266"/>
      <c r="B75" s="267"/>
      <c r="C75" s="99">
        <f t="shared" si="12"/>
        <v>0</v>
      </c>
      <c r="D75" s="100">
        <f t="shared" si="13"/>
        <v>0</v>
      </c>
      <c r="E75" s="101">
        <f t="shared" si="14"/>
        <v>0</v>
      </c>
      <c r="H75" s="1"/>
      <c r="I75" s="1"/>
      <c r="J75" s="1"/>
    </row>
    <row r="76" spans="1:10" ht="19.95" customHeight="1" x14ac:dyDescent="0.3">
      <c r="A76" s="266"/>
      <c r="B76" s="267"/>
      <c r="C76" s="99">
        <f t="shared" si="12"/>
        <v>0</v>
      </c>
      <c r="D76" s="100">
        <f t="shared" si="13"/>
        <v>0</v>
      </c>
      <c r="E76" s="101">
        <f t="shared" si="14"/>
        <v>0</v>
      </c>
      <c r="H76" s="1"/>
      <c r="I76" s="1"/>
      <c r="J76" s="1"/>
    </row>
    <row r="77" spans="1:10" ht="19.95" customHeight="1" x14ac:dyDescent="0.3">
      <c r="A77" s="266"/>
      <c r="B77" s="267"/>
      <c r="C77" s="99">
        <f t="shared" si="12"/>
        <v>0</v>
      </c>
      <c r="D77" s="100">
        <f t="shared" si="13"/>
        <v>0</v>
      </c>
      <c r="E77" s="101">
        <f t="shared" si="14"/>
        <v>0</v>
      </c>
      <c r="H77" s="1"/>
      <c r="I77" s="1"/>
      <c r="J77" s="1"/>
    </row>
    <row r="78" spans="1:10" ht="19.95" customHeight="1" x14ac:dyDescent="0.3">
      <c r="A78" s="266"/>
      <c r="B78" s="267"/>
      <c r="C78" s="99">
        <f t="shared" si="12"/>
        <v>0</v>
      </c>
      <c r="D78" s="100">
        <f t="shared" si="13"/>
        <v>0</v>
      </c>
      <c r="E78" s="101">
        <f t="shared" si="14"/>
        <v>0</v>
      </c>
      <c r="H78" s="1"/>
      <c r="I78" s="1"/>
      <c r="J78" s="1"/>
    </row>
    <row r="79" spans="1:10" ht="19.95" customHeight="1" x14ac:dyDescent="0.3">
      <c r="A79" s="266"/>
      <c r="B79" s="267"/>
      <c r="C79" s="99">
        <f t="shared" si="12"/>
        <v>0</v>
      </c>
      <c r="D79" s="100">
        <f t="shared" si="13"/>
        <v>0</v>
      </c>
      <c r="E79" s="101">
        <f t="shared" si="14"/>
        <v>0</v>
      </c>
      <c r="H79" s="1"/>
      <c r="I79" s="1"/>
      <c r="J79" s="1"/>
    </row>
    <row r="80" spans="1:10" ht="19.95" customHeight="1" x14ac:dyDescent="0.3">
      <c r="A80" s="266"/>
      <c r="B80" s="267"/>
      <c r="C80" s="99">
        <f t="shared" si="12"/>
        <v>0</v>
      </c>
      <c r="D80" s="100">
        <f t="shared" si="13"/>
        <v>0</v>
      </c>
      <c r="E80" s="101">
        <f t="shared" si="14"/>
        <v>0</v>
      </c>
      <c r="H80" s="1"/>
      <c r="I80" s="1"/>
      <c r="J80" s="1"/>
    </row>
    <row r="81" spans="1:11" ht="19.95" customHeight="1" x14ac:dyDescent="0.3">
      <c r="A81" s="266"/>
      <c r="B81" s="267"/>
      <c r="C81" s="99">
        <f t="shared" si="12"/>
        <v>0</v>
      </c>
      <c r="D81" s="100">
        <f t="shared" si="13"/>
        <v>0</v>
      </c>
      <c r="E81" s="101">
        <f t="shared" si="14"/>
        <v>0</v>
      </c>
      <c r="H81" s="1"/>
      <c r="I81" s="1"/>
      <c r="J81" s="1"/>
    </row>
    <row r="82" spans="1:11" ht="19.95" customHeight="1" x14ac:dyDescent="0.3">
      <c r="A82" s="266"/>
      <c r="B82" s="267"/>
      <c r="C82" s="99">
        <f t="shared" si="12"/>
        <v>0</v>
      </c>
      <c r="D82" s="100">
        <f t="shared" si="13"/>
        <v>0</v>
      </c>
      <c r="E82" s="101">
        <f t="shared" si="14"/>
        <v>0</v>
      </c>
      <c r="H82" s="1"/>
      <c r="I82" s="1"/>
      <c r="J82" s="1"/>
    </row>
    <row r="83" spans="1:11" ht="19.95" customHeight="1" x14ac:dyDescent="0.3">
      <c r="A83" s="266"/>
      <c r="B83" s="267"/>
      <c r="C83" s="99">
        <f t="shared" si="12"/>
        <v>0</v>
      </c>
      <c r="D83" s="100">
        <f t="shared" si="13"/>
        <v>0</v>
      </c>
      <c r="E83" s="101">
        <f t="shared" si="14"/>
        <v>0</v>
      </c>
      <c r="H83" s="1"/>
      <c r="I83" s="1"/>
      <c r="J83" s="1"/>
    </row>
    <row r="84" spans="1:11" ht="19.95" customHeight="1" x14ac:dyDescent="0.3">
      <c r="A84" s="266"/>
      <c r="B84" s="267"/>
      <c r="C84" s="99">
        <f t="shared" si="12"/>
        <v>0</v>
      </c>
      <c r="D84" s="100">
        <f t="shared" si="13"/>
        <v>0</v>
      </c>
      <c r="E84" s="101">
        <f t="shared" si="14"/>
        <v>0</v>
      </c>
      <c r="H84" s="1"/>
      <c r="I84" s="1"/>
      <c r="J84" s="1"/>
    </row>
    <row r="85" spans="1:11" ht="19.95" customHeight="1" x14ac:dyDescent="0.3">
      <c r="A85" s="266"/>
      <c r="B85" s="267"/>
      <c r="C85" s="99">
        <f t="shared" si="12"/>
        <v>0</v>
      </c>
      <c r="D85" s="100">
        <f t="shared" si="13"/>
        <v>0</v>
      </c>
      <c r="E85" s="101">
        <f t="shared" si="14"/>
        <v>0</v>
      </c>
      <c r="H85" s="1"/>
      <c r="I85" s="1"/>
      <c r="J85" s="1"/>
    </row>
    <row r="86" spans="1:11" ht="19.95" customHeight="1" x14ac:dyDescent="0.3">
      <c r="A86" s="266"/>
      <c r="B86" s="267"/>
      <c r="C86" s="99">
        <f t="shared" si="12"/>
        <v>0</v>
      </c>
      <c r="D86" s="100">
        <f t="shared" si="13"/>
        <v>0</v>
      </c>
      <c r="E86" s="101">
        <f t="shared" si="14"/>
        <v>0</v>
      </c>
      <c r="H86" s="1"/>
      <c r="I86" s="1"/>
      <c r="J86" s="1"/>
    </row>
    <row r="87" spans="1:11" ht="19.95" customHeight="1" x14ac:dyDescent="0.3">
      <c r="A87" s="266"/>
      <c r="B87" s="267"/>
      <c r="C87" s="99">
        <f t="shared" si="12"/>
        <v>0</v>
      </c>
      <c r="D87" s="100">
        <f t="shared" si="13"/>
        <v>0</v>
      </c>
      <c r="E87" s="101">
        <f t="shared" si="14"/>
        <v>0</v>
      </c>
      <c r="H87" s="1"/>
      <c r="I87" s="1"/>
      <c r="J87" s="1"/>
    </row>
    <row r="88" spans="1:11" ht="19.95" customHeight="1" x14ac:dyDescent="0.3">
      <c r="A88" s="266"/>
      <c r="B88" s="267"/>
      <c r="C88" s="99">
        <f t="shared" si="12"/>
        <v>0</v>
      </c>
      <c r="D88" s="100">
        <f t="shared" si="13"/>
        <v>0</v>
      </c>
      <c r="E88" s="101">
        <f t="shared" si="14"/>
        <v>0</v>
      </c>
      <c r="H88" s="1"/>
      <c r="I88" s="1"/>
      <c r="J88" s="1"/>
    </row>
    <row r="89" spans="1:11" ht="19.95" customHeight="1" x14ac:dyDescent="0.3">
      <c r="A89" s="266"/>
      <c r="B89" s="267"/>
      <c r="C89" s="99">
        <f>IF( B89&gt;$B$93,"błąd",IF((ISBLANK(A89)=TRUE),0,DATEDIF(A89,B89+1,"Y")))</f>
        <v>0</v>
      </c>
      <c r="D89" s="100">
        <f>IF(B89&gt;$B$93, "błąd",IF((ISBLANK(A89)=TRUE),0,DATEDIF(A89,B89+1,"YM")))</f>
        <v>0</v>
      </c>
      <c r="E89" s="101">
        <f>IF(B89&gt;$B$93,"błąd",IF((ISBLANK(A89)=TRUE),0,DATEDIF(A89,B89+1,"MD")))</f>
        <v>0</v>
      </c>
      <c r="H89" s="1"/>
      <c r="I89" s="1"/>
      <c r="J89" s="1"/>
    </row>
    <row r="90" spans="1:11" ht="19.95" customHeight="1" thickBot="1" x14ac:dyDescent="0.35">
      <c r="A90" s="268"/>
      <c r="B90" s="269"/>
      <c r="C90" s="99">
        <f>IF( B90&gt;$B$93,"błąd",IF((ISBLANK(A90)=TRUE),0,DATEDIF(A90,B90+1,"Y")))</f>
        <v>0</v>
      </c>
      <c r="D90" s="100">
        <f>IF(B90&gt;$B$93, "błąd",IF((ISBLANK(A90)=TRUE),0,DATEDIF(A90,B90+1,"YM")))</f>
        <v>0</v>
      </c>
      <c r="E90" s="101">
        <f>IF(B90&gt;$B$93,"błąd",IF((ISBLANK(A90)=TRUE),0,DATEDIF(A90,B90+1,"MD")))</f>
        <v>0</v>
      </c>
      <c r="G90" s="14"/>
      <c r="H90" s="69"/>
      <c r="I90" s="69"/>
      <c r="J90" s="69"/>
      <c r="K90" s="14"/>
    </row>
    <row r="91" spans="1:11" ht="19.95" customHeight="1" thickBot="1" x14ac:dyDescent="0.35">
      <c r="A91" s="390" t="s">
        <v>118</v>
      </c>
      <c r="B91" s="391"/>
      <c r="C91" s="104">
        <f>SUM(C60:C90)+INT((SUM(D60:D90)+INT(SUM(E60:E90)/30))/12)</f>
        <v>0</v>
      </c>
      <c r="D91" s="104">
        <f>MOD(SUM(D60:D90)+INT(SUM(E60:E90)/30),12)</f>
        <v>0</v>
      </c>
      <c r="E91" s="105">
        <f>MOD(SUM(E60:E90),30)</f>
        <v>0</v>
      </c>
    </row>
    <row r="92" spans="1:11" ht="19.95" customHeight="1" thickBot="1" x14ac:dyDescent="0.35">
      <c r="A92" s="377" t="s">
        <v>119</v>
      </c>
      <c r="B92" s="378"/>
      <c r="C92" s="182">
        <f>INT(C91*1.5)+INT((D91+IF(MOD(C91*1.5,1)=0.5,6,0))/12)</f>
        <v>0</v>
      </c>
      <c r="D92" s="106">
        <f>MOD((D91+IF(MOD(C91*1.5,1)=0.5,6,0)),12)</f>
        <v>0</v>
      </c>
      <c r="E92" s="107">
        <f>E91</f>
        <v>0</v>
      </c>
    </row>
    <row r="93" spans="1:11" ht="19.95" customHeight="1" x14ac:dyDescent="0.3">
      <c r="A93" s="30"/>
      <c r="B93" s="108">
        <v>41274</v>
      </c>
      <c r="C93" s="109"/>
      <c r="D93" s="109"/>
      <c r="E93" s="109"/>
    </row>
    <row r="94" spans="1:11" ht="25.95" customHeight="1" thickBot="1" x14ac:dyDescent="0.35">
      <c r="A94" s="381" t="s">
        <v>51</v>
      </c>
      <c r="B94" s="381"/>
      <c r="C94" s="381"/>
      <c r="D94" s="381"/>
      <c r="E94" s="381"/>
    </row>
    <row r="95" spans="1:11" ht="22.95" customHeight="1" thickBot="1" x14ac:dyDescent="0.35">
      <c r="A95" s="382" t="s">
        <v>70</v>
      </c>
      <c r="B95" s="383"/>
      <c r="C95" s="110">
        <f>C21</f>
        <v>0</v>
      </c>
      <c r="D95" s="111">
        <f>D21</f>
        <v>0</v>
      </c>
      <c r="E95" s="181">
        <f>E21</f>
        <v>0</v>
      </c>
    </row>
    <row r="96" spans="1:11" ht="25.2" customHeight="1" thickBot="1" x14ac:dyDescent="0.35">
      <c r="A96" s="384" t="s">
        <v>56</v>
      </c>
      <c r="B96" s="385"/>
      <c r="C96" s="112">
        <f>C92</f>
        <v>0</v>
      </c>
      <c r="D96" s="113">
        <f>D92</f>
        <v>0</v>
      </c>
      <c r="E96" s="114">
        <f>E92</f>
        <v>0</v>
      </c>
    </row>
    <row r="97" spans="1:5" ht="35.4" customHeight="1" thickBot="1" x14ac:dyDescent="0.35">
      <c r="A97" s="379" t="s">
        <v>67</v>
      </c>
      <c r="B97" s="380"/>
      <c r="C97" s="115">
        <f>SUM(C95:C96)+INT((SUM(D95:D96)+INT(SUM(E95:E96)/30))/12)</f>
        <v>0</v>
      </c>
      <c r="D97" s="116">
        <f>MOD((D95+D96)+INT((E95+E96)/30),12)</f>
        <v>0</v>
      </c>
      <c r="E97" s="117">
        <f>MOD((E95+E96),30)</f>
        <v>0</v>
      </c>
    </row>
    <row r="99" spans="1:5" ht="21.6" customHeight="1" thickBot="1" x14ac:dyDescent="0.35">
      <c r="A99" s="381" t="s">
        <v>62</v>
      </c>
      <c r="B99" s="381"/>
      <c r="C99" s="381"/>
      <c r="D99" s="381"/>
      <c r="E99" s="381"/>
    </row>
    <row r="100" spans="1:5" ht="30.6" customHeight="1" thickBot="1" x14ac:dyDescent="0.35">
      <c r="A100" s="382" t="s">
        <v>69</v>
      </c>
      <c r="B100" s="383"/>
      <c r="C100" s="111">
        <f>C21</f>
        <v>0</v>
      </c>
      <c r="D100" s="111">
        <f t="shared" ref="D100:E100" si="15">D21</f>
        <v>0</v>
      </c>
      <c r="E100" s="181">
        <f t="shared" si="15"/>
        <v>0</v>
      </c>
    </row>
    <row r="101" spans="1:5" ht="32.4" customHeight="1" thickBot="1" x14ac:dyDescent="0.35">
      <c r="A101" s="384" t="s">
        <v>57</v>
      </c>
      <c r="B101" s="385"/>
      <c r="C101" s="113">
        <f>C91</f>
        <v>0</v>
      </c>
      <c r="D101" s="113">
        <f t="shared" ref="D101:E101" si="16">D91</f>
        <v>0</v>
      </c>
      <c r="E101" s="114">
        <f t="shared" si="16"/>
        <v>0</v>
      </c>
    </row>
    <row r="102" spans="1:5" ht="48.6" customHeight="1" thickBot="1" x14ac:dyDescent="0.35">
      <c r="A102" s="379" t="s">
        <v>68</v>
      </c>
      <c r="B102" s="380"/>
      <c r="C102" s="115">
        <f>SUM(C100:C101)+INT((SUM(D100:D101)+INT(SUM(E100:E101)/30))/12)</f>
        <v>0</v>
      </c>
      <c r="D102" s="116">
        <f>MOD((D100+D101)+INT((E100+E101)/30),12)</f>
        <v>0</v>
      </c>
      <c r="E102" s="117">
        <f>MOD((E100+E101),30)</f>
        <v>0</v>
      </c>
    </row>
  </sheetData>
  <sheetProtection algorithmName="SHA-512" hashValue="CJTlyLyOAgbqtfBjVVuRG4PJ5QvtlWxx6emVGV3Fu5bDKIDQUQVyE5qEYVBFL4Auc6gvzBWSYl/kfwEtF/B5WQ==" saltValue="YphjXmqYio3a7yvRZO6IGg==" spinCount="100000" sheet="1" objects="1" scenarios="1"/>
  <mergeCells count="40">
    <mergeCell ref="G12:J12"/>
    <mergeCell ref="G23:K25"/>
    <mergeCell ref="G27:K29"/>
    <mergeCell ref="G14:J14"/>
    <mergeCell ref="G15:J15"/>
    <mergeCell ref="G16:J16"/>
    <mergeCell ref="G17:J17"/>
    <mergeCell ref="G18:J18"/>
    <mergeCell ref="H7:J7"/>
    <mergeCell ref="A21:B21"/>
    <mergeCell ref="H1:K1"/>
    <mergeCell ref="H11:I11"/>
    <mergeCell ref="G9:G10"/>
    <mergeCell ref="E4:E5"/>
    <mergeCell ref="A3:B3"/>
    <mergeCell ref="A4:B4"/>
    <mergeCell ref="A5:B5"/>
    <mergeCell ref="A1:E2"/>
    <mergeCell ref="G21:J21"/>
    <mergeCell ref="G20:J20"/>
    <mergeCell ref="G2:K2"/>
    <mergeCell ref="G13:J13"/>
    <mergeCell ref="A8:E8"/>
    <mergeCell ref="G19:J19"/>
    <mergeCell ref="A92:B92"/>
    <mergeCell ref="A7:E7"/>
    <mergeCell ref="A102:B102"/>
    <mergeCell ref="A94:E94"/>
    <mergeCell ref="A99:E99"/>
    <mergeCell ref="A100:B100"/>
    <mergeCell ref="A101:B101"/>
    <mergeCell ref="A95:B95"/>
    <mergeCell ref="A96:B96"/>
    <mergeCell ref="A97:B97"/>
    <mergeCell ref="A41:B41"/>
    <mergeCell ref="A56:B56"/>
    <mergeCell ref="A91:B91"/>
    <mergeCell ref="A23:E23"/>
    <mergeCell ref="A43:E43"/>
    <mergeCell ref="A58:E58"/>
  </mergeCells>
  <conditionalFormatting sqref="K15">
    <cfRule type="expression" dxfId="1" priority="1">
      <formula>$H$10&lt;32</formula>
    </cfRule>
  </conditionalFormatting>
  <dataValidations xWindow="532" yWindow="576" count="2">
    <dataValidation type="date" allowBlank="1" showInputMessage="1" showErrorMessage="1" error="Data musi być wcześniejsza od 2013-01-01_x000a_Data w formacie RRRR-MM-DD" prompt="Proszę wypenić pole w formacie daty, _x000a_tj.: RRRR-MM-DD, gdzie:_x000a_RRRR - rok_x000a_MM - miesiąc_x000a_DD - dzień" sqref="C4">
      <formula1>1</formula1>
      <formula2>41274</formula2>
    </dataValidation>
    <dataValidation type="date" allowBlank="1" showInputMessage="1" showErrorMessage="1" error="Data w formacie RRRR-MM-DD" sqref="A10:B20 A25:B40 A45:B55 A60:B90">
      <formula1>1</formula1>
      <formula2>402133</formula2>
    </dataValidation>
  </dataValidations>
  <pageMargins left="0.70866141732283472" right="0.70866141732283472" top="0.39370078740157483" bottom="0.27559055118110237"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32" yWindow="576" count="1">
        <x14:dataValidation type="list" allowBlank="1" showInputMessage="1" showErrorMessage="1">
          <x14:formula1>
            <xm:f>Roboczy!$A$1:$A$17</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89"/>
  <sheetViews>
    <sheetView showGridLines="0" workbookViewId="0">
      <selection activeCell="K4" sqref="K4"/>
    </sheetView>
  </sheetViews>
  <sheetFormatPr defaultColWidth="8.88671875" defaultRowHeight="14.4" x14ac:dyDescent="0.3"/>
  <cols>
    <col min="1" max="1" width="18.109375" style="1" customWidth="1"/>
    <col min="2" max="2" width="21" style="1" customWidth="1"/>
    <col min="3" max="3" width="12.5546875" style="1" customWidth="1"/>
    <col min="4" max="4" width="11.88671875" style="1" customWidth="1"/>
    <col min="5" max="5" width="14.88671875" style="1" customWidth="1"/>
    <col min="6" max="6" width="6.33203125" style="1" customWidth="1"/>
    <col min="7" max="7" width="67.109375" style="152" customWidth="1"/>
    <col min="8" max="8" width="10.109375" style="152" customWidth="1"/>
    <col min="9" max="9" width="8.6640625" style="152" customWidth="1"/>
    <col min="10" max="10" width="9.6640625" style="1" customWidth="1"/>
    <col min="11" max="11" width="21.6640625" style="1" customWidth="1"/>
    <col min="12" max="12" width="25.109375" style="1" customWidth="1"/>
    <col min="13" max="13" width="12.6640625" style="1" customWidth="1"/>
    <col min="14" max="14" width="11.44140625" style="1" customWidth="1"/>
    <col min="15" max="15" width="11.5546875" style="1" customWidth="1"/>
    <col min="16" max="16" width="15.109375" style="1" customWidth="1"/>
    <col min="17" max="16384" width="8.88671875" style="1"/>
  </cols>
  <sheetData>
    <row r="1" spans="1:33" ht="30" customHeight="1" x14ac:dyDescent="0.3">
      <c r="A1" s="351" t="s">
        <v>110</v>
      </c>
      <c r="B1" s="351"/>
      <c r="C1" s="351"/>
      <c r="D1" s="351"/>
      <c r="E1" s="351"/>
      <c r="G1" s="413" t="s">
        <v>101</v>
      </c>
      <c r="H1" s="413"/>
      <c r="I1" s="413"/>
      <c r="J1" s="413"/>
      <c r="K1" s="413"/>
      <c r="M1" s="163">
        <v>36161</v>
      </c>
      <c r="N1" s="163">
        <v>36162</v>
      </c>
      <c r="O1" s="163">
        <v>37895</v>
      </c>
      <c r="P1" s="163">
        <v>41275</v>
      </c>
      <c r="Q1" s="164"/>
      <c r="R1" s="165">
        <v>0.09</v>
      </c>
      <c r="S1" s="165">
        <v>0.12</v>
      </c>
      <c r="T1" s="166">
        <v>300</v>
      </c>
      <c r="U1" s="161"/>
      <c r="V1" s="161"/>
      <c r="W1" s="161"/>
      <c r="X1" s="161"/>
      <c r="Y1" s="161"/>
      <c r="Z1" s="161"/>
      <c r="AA1" s="161"/>
      <c r="AB1" s="161"/>
      <c r="AC1" s="161"/>
      <c r="AD1" s="161"/>
      <c r="AE1" s="161"/>
      <c r="AF1" s="161"/>
      <c r="AG1" s="161"/>
    </row>
    <row r="2" spans="1:33" ht="23.4" customHeight="1" thickBot="1" x14ac:dyDescent="0.35">
      <c r="A2" s="351"/>
      <c r="B2" s="351"/>
      <c r="C2" s="351"/>
      <c r="D2" s="351"/>
      <c r="E2" s="351"/>
      <c r="G2" s="414"/>
      <c r="H2" s="414"/>
      <c r="I2" s="414"/>
      <c r="J2" s="414"/>
      <c r="K2" s="414"/>
      <c r="M2" s="163"/>
      <c r="N2" s="163"/>
      <c r="O2" s="163"/>
      <c r="P2" s="163"/>
      <c r="Q2" s="164"/>
      <c r="R2" s="165"/>
      <c r="S2" s="165"/>
      <c r="T2" s="166"/>
      <c r="U2" s="161"/>
      <c r="V2" s="161"/>
      <c r="W2" s="161"/>
      <c r="X2" s="161"/>
      <c r="Y2" s="161"/>
      <c r="Z2" s="161"/>
      <c r="AA2" s="161"/>
      <c r="AB2" s="161"/>
      <c r="AC2" s="161"/>
      <c r="AD2" s="161"/>
      <c r="AE2" s="161"/>
      <c r="AF2" s="161"/>
      <c r="AG2" s="161"/>
    </row>
    <row r="3" spans="1:33" ht="31.2" customHeight="1" thickBot="1" x14ac:dyDescent="0.35">
      <c r="A3" s="416" t="s">
        <v>106</v>
      </c>
      <c r="B3" s="417"/>
      <c r="C3" s="189" t="s">
        <v>14</v>
      </c>
      <c r="D3" s="185" t="s">
        <v>0</v>
      </c>
      <c r="E3" s="187" t="s">
        <v>32</v>
      </c>
      <c r="G3" s="178" t="s">
        <v>104</v>
      </c>
      <c r="H3" s="48" t="s">
        <v>15</v>
      </c>
      <c r="I3" s="49" t="s">
        <v>16</v>
      </c>
      <c r="J3" s="50" t="s">
        <v>17</v>
      </c>
      <c r="K3" s="51" t="s">
        <v>26</v>
      </c>
      <c r="M3" s="163"/>
      <c r="N3" s="163"/>
      <c r="O3" s="163"/>
      <c r="P3" s="163"/>
      <c r="Q3" s="164"/>
      <c r="R3" s="165"/>
      <c r="S3" s="165"/>
      <c r="T3" s="166"/>
      <c r="U3" s="161"/>
      <c r="V3" s="161"/>
      <c r="W3" s="161"/>
      <c r="X3" s="161"/>
      <c r="Y3" s="161"/>
      <c r="Z3" s="161"/>
      <c r="AA3" s="161"/>
      <c r="AB3" s="161"/>
      <c r="AC3" s="161"/>
      <c r="AD3" s="161"/>
      <c r="AE3" s="161"/>
      <c r="AF3" s="161"/>
      <c r="AG3" s="161"/>
    </row>
    <row r="4" spans="1:33" ht="38.25" customHeight="1" thickBot="1" x14ac:dyDescent="0.35">
      <c r="A4" s="405" t="s">
        <v>105</v>
      </c>
      <c r="B4" s="406"/>
      <c r="C4" s="194"/>
      <c r="D4" s="192"/>
      <c r="E4" s="415" t="str">
        <f>IF(AND($C$4&lt;$O$1,$C$4&gt;$M$1),"art. 15aa",IF($C$4="","proszę obowiązkowo wprowadzić do komórki C4 datę wstąpienia po raz pierwszy do służby","poza zakresem"))</f>
        <v>proszę obowiązkowo wprowadzić do komórki C4 datę wstąpienia po raz pierwszy do służby</v>
      </c>
      <c r="G4" s="55" t="s">
        <v>126</v>
      </c>
      <c r="H4" s="118">
        <f>$C$84</f>
        <v>0</v>
      </c>
      <c r="I4" s="119">
        <f>$D$84</f>
        <v>0</v>
      </c>
      <c r="J4" s="120">
        <f>$E$84</f>
        <v>0</v>
      </c>
      <c r="K4" s="257">
        <f>IF($C$89=0,0,IF($C$89&lt;25, "brak prawa do doliczenia okesów składkowych;
(C89)&lt;25 lat",ROUND(0.4+(H4-15)*0.026+I4*0.026/12,4)))</f>
        <v>0</v>
      </c>
      <c r="L4" s="412" t="str">
        <f>IF($C$89=0,"",IF($C$89&lt;25," (C89)&lt;25 lat;
brak 25 lat służby ustalonej
 w wymiarze pojedynczym liczonej wraz z okresami równorzędnymi ze służbą
",""))</f>
        <v/>
      </c>
      <c r="M4" s="163"/>
      <c r="N4" s="163"/>
      <c r="O4" s="163"/>
      <c r="P4" s="163"/>
      <c r="Q4" s="164"/>
      <c r="R4" s="165"/>
      <c r="S4" s="165"/>
      <c r="T4" s="166"/>
      <c r="U4" s="161"/>
      <c r="V4" s="161"/>
      <c r="W4" s="161"/>
      <c r="X4" s="161"/>
      <c r="Y4" s="161"/>
      <c r="Z4" s="161"/>
      <c r="AA4" s="161"/>
      <c r="AB4" s="161"/>
      <c r="AC4" s="161"/>
      <c r="AD4" s="161"/>
      <c r="AE4" s="161"/>
      <c r="AF4" s="161"/>
      <c r="AG4" s="161"/>
    </row>
    <row r="5" spans="1:33" ht="32.25" customHeight="1" thickBot="1" x14ac:dyDescent="0.35">
      <c r="A5" s="418" t="s">
        <v>107</v>
      </c>
      <c r="B5" s="419"/>
      <c r="C5" s="195" t="str">
        <f>IF('Podstawa wymiaru 10 lat SM'!$A$69="","",'Podstawa wymiaru 10 lat SM'!$A$69)</f>
        <v/>
      </c>
      <c r="D5" s="191" t="s">
        <v>74</v>
      </c>
      <c r="E5" s="371"/>
      <c r="G5" s="121" t="s">
        <v>35</v>
      </c>
      <c r="H5" s="122">
        <f>IF(AND($C$89&gt;=25,$C$4&gt;$M$1,$C$4&lt;$O$1),C41,0)</f>
        <v>0</v>
      </c>
      <c r="I5" s="122">
        <f>IF(AND($C$89&gt;=25,$C$4&gt;$M$1,$C$4&lt;$O$1),D41,0)</f>
        <v>0</v>
      </c>
      <c r="J5" s="122">
        <f>IF(AND($C$89&gt;=25,$C$4&gt;$M$1,$C$4&lt;$O$1),E41,0)</f>
        <v>0</v>
      </c>
      <c r="K5" s="256">
        <f>IF($C$89&lt;25,0,ROUND(H5*0.013+I5*0.013/12,4))</f>
        <v>0</v>
      </c>
      <c r="L5" s="412"/>
      <c r="M5" s="163"/>
      <c r="N5" s="163"/>
      <c r="O5" s="163"/>
      <c r="P5" s="163"/>
      <c r="Q5" s="164"/>
      <c r="R5" s="165"/>
      <c r="S5" s="165"/>
      <c r="T5" s="166"/>
      <c r="U5" s="161"/>
      <c r="V5" s="161"/>
      <c r="W5" s="161"/>
      <c r="X5" s="161"/>
      <c r="Y5" s="161"/>
      <c r="Z5" s="161"/>
      <c r="AA5" s="161"/>
      <c r="AB5" s="161"/>
      <c r="AC5" s="161"/>
      <c r="AD5" s="161"/>
      <c r="AE5" s="161"/>
      <c r="AF5" s="161"/>
      <c r="AG5" s="161"/>
    </row>
    <row r="6" spans="1:33" ht="36" customHeight="1" thickBot="1" x14ac:dyDescent="0.35">
      <c r="A6" s="177"/>
      <c r="B6" s="177"/>
      <c r="C6" s="177"/>
      <c r="D6" s="177"/>
      <c r="E6" s="177"/>
      <c r="G6" s="68"/>
      <c r="H6" s="367" t="s">
        <v>98</v>
      </c>
      <c r="I6" s="368"/>
      <c r="J6" s="369"/>
      <c r="K6" s="258">
        <f>MIN(SUM(K4:K5),0.75)</f>
        <v>0</v>
      </c>
      <c r="L6" s="412"/>
      <c r="M6" s="163"/>
      <c r="N6" s="163"/>
      <c r="O6" s="163"/>
      <c r="P6" s="163"/>
      <c r="Q6" s="164"/>
      <c r="R6" s="165"/>
      <c r="S6" s="165"/>
      <c r="T6" s="166"/>
      <c r="U6" s="161"/>
      <c r="V6" s="161"/>
      <c r="W6" s="161"/>
      <c r="X6" s="161"/>
      <c r="Y6" s="161"/>
      <c r="Z6" s="161"/>
      <c r="AA6" s="161"/>
      <c r="AB6" s="161"/>
      <c r="AC6" s="161"/>
      <c r="AD6" s="161"/>
      <c r="AE6" s="161"/>
      <c r="AF6" s="161"/>
      <c r="AG6" s="161"/>
    </row>
    <row r="7" spans="1:33" ht="31.95" customHeight="1" thickBot="1" x14ac:dyDescent="0.35">
      <c r="A7" s="352" t="s">
        <v>109</v>
      </c>
      <c r="B7" s="352"/>
      <c r="C7" s="352"/>
      <c r="D7" s="352"/>
      <c r="E7" s="352"/>
      <c r="G7" s="68"/>
      <c r="H7" s="69"/>
      <c r="I7" s="69"/>
      <c r="J7" s="69"/>
      <c r="K7" s="70"/>
      <c r="M7" s="163"/>
      <c r="N7" s="163"/>
      <c r="O7" s="163"/>
      <c r="P7" s="163"/>
      <c r="Q7" s="164"/>
      <c r="R7" s="165"/>
      <c r="S7" s="165"/>
      <c r="T7" s="166"/>
      <c r="U7" s="161"/>
      <c r="V7" s="161"/>
      <c r="W7" s="161"/>
      <c r="X7" s="161"/>
      <c r="Y7" s="161"/>
      <c r="Z7" s="161"/>
      <c r="AA7" s="161"/>
      <c r="AB7" s="161"/>
      <c r="AC7" s="161"/>
      <c r="AD7" s="161"/>
      <c r="AE7" s="161"/>
      <c r="AF7" s="161"/>
      <c r="AG7" s="161"/>
    </row>
    <row r="8" spans="1:33" ht="22.95" customHeight="1" thickBot="1" x14ac:dyDescent="0.35">
      <c r="A8" s="336" t="s">
        <v>48</v>
      </c>
      <c r="B8" s="337"/>
      <c r="C8" s="337"/>
      <c r="D8" s="337"/>
      <c r="E8" s="338"/>
      <c r="G8" s="372" t="s">
        <v>89</v>
      </c>
      <c r="H8" s="146" t="s">
        <v>15</v>
      </c>
      <c r="I8" s="49" t="s">
        <v>16</v>
      </c>
      <c r="J8" s="147" t="s">
        <v>17</v>
      </c>
      <c r="L8" s="34"/>
    </row>
    <row r="9" spans="1:33" ht="22.95" customHeight="1" thickBot="1" x14ac:dyDescent="0.35">
      <c r="A9" s="35" t="s">
        <v>30</v>
      </c>
      <c r="B9" s="36" t="s">
        <v>31</v>
      </c>
      <c r="C9" s="35" t="s">
        <v>25</v>
      </c>
      <c r="D9" s="37" t="s">
        <v>27</v>
      </c>
      <c r="E9" s="36" t="s">
        <v>17</v>
      </c>
      <c r="G9" s="373"/>
      <c r="H9" s="149">
        <f>IF($H$4&gt;=25,SUM(H4:H5)+INT((SUM(I4:I5)+INT(SUM(J4:J5)/30))/12),$H$4)</f>
        <v>0</v>
      </c>
      <c r="I9" s="149">
        <f>IF($H$4&gt;=25,MOD(SUM(I4:I5)+INT(SUM(J4:J5)/30),12),$I$4)</f>
        <v>0</v>
      </c>
      <c r="J9" s="150">
        <f>IF($H$4&gt;=25,MOD(SUM(J4:J5),30),$J$4)</f>
        <v>0</v>
      </c>
      <c r="L9" s="34"/>
    </row>
    <row r="10" spans="1:33" ht="22.95" customHeight="1" x14ac:dyDescent="0.3">
      <c r="A10" s="264"/>
      <c r="B10" s="265"/>
      <c r="C10" s="40">
        <f>IF((ISBLANK(A10)=TRUE),0,DATEDIF(A10,B10+1,"Y"))</f>
        <v>0</v>
      </c>
      <c r="D10" s="41">
        <f>IF((ISBLANK(A10)=TRUE),0,DATEDIF(A10,B10+1,"YM"))</f>
        <v>0</v>
      </c>
      <c r="E10" s="42">
        <f>IF((ISBLANK(A10)=TRUE),0,DATEDIF(A10,B10+1,"MD"))</f>
        <v>0</v>
      </c>
      <c r="G10" s="1"/>
      <c r="H10" s="1"/>
      <c r="I10" s="1"/>
      <c r="L10" s="34"/>
    </row>
    <row r="11" spans="1:33" ht="22.95" customHeight="1" x14ac:dyDescent="0.3">
      <c r="A11" s="266"/>
      <c r="B11" s="267"/>
      <c r="C11" s="44">
        <f>IF((ISBLANK(A11)=TRUE),0,DATEDIF(A11,B11+1,"Y"))</f>
        <v>0</v>
      </c>
      <c r="D11" s="45">
        <f>IF((ISBLANK(A11)=TRUE),0,DATEDIF(A11,B11+1,"YM"))</f>
        <v>0</v>
      </c>
      <c r="E11" s="46">
        <f>IF((ISBLANK(A11)=TRUE),0,DATEDIF(A11,B11+1,"MD"))</f>
        <v>0</v>
      </c>
      <c r="G11" s="359" t="s">
        <v>78</v>
      </c>
      <c r="H11" s="359"/>
      <c r="I11" s="359"/>
      <c r="J11" s="359"/>
      <c r="K11" s="176"/>
      <c r="L11" s="34"/>
    </row>
    <row r="12" spans="1:33" ht="22.95" customHeight="1" thickBot="1" x14ac:dyDescent="0.35">
      <c r="A12" s="266"/>
      <c r="B12" s="267"/>
      <c r="C12" s="44">
        <f>IF((ISBLANK(A12)=TRUE),0,DATEDIF(A12,B12+1,"Y"))</f>
        <v>0</v>
      </c>
      <c r="D12" s="45">
        <f>IF((ISBLANK(A12)=TRUE),0,DATEDIF(A12,B12+1,"YM"))</f>
        <v>0</v>
      </c>
      <c r="E12" s="46">
        <f>IF((ISBLANK(A12)=TRUE),0,DATEDIF(A12,B12+1,"MD"))</f>
        <v>0</v>
      </c>
      <c r="G12" s="360" t="str">
        <f>IF($E$4="art. 15aa","Obliczenie wysokości emerytury na podstawie art. 15aa ustawy","")</f>
        <v/>
      </c>
      <c r="H12" s="360"/>
      <c r="I12" s="360"/>
      <c r="J12" s="360"/>
      <c r="L12" s="52"/>
    </row>
    <row r="13" spans="1:33" ht="22.95" customHeight="1" thickBot="1" x14ac:dyDescent="0.35">
      <c r="A13" s="266"/>
      <c r="B13" s="267"/>
      <c r="C13" s="44">
        <f t="shared" ref="C13:C20" si="0">IF((ISBLANK(A13)=TRUE),0,DATEDIF(A13,B13+1,"Y"))</f>
        <v>0</v>
      </c>
      <c r="D13" s="45">
        <f t="shared" ref="D13:D20" si="1">IF((ISBLANK(A13)=TRUE),0,DATEDIF(A13,B13+1,"YM"))</f>
        <v>0</v>
      </c>
      <c r="E13" s="46">
        <f t="shared" ref="E13:E20" si="2">IF((ISBLANK(A13)=TRUE),0,DATEDIF(A13,B13+1,"MD"))</f>
        <v>0</v>
      </c>
      <c r="G13" s="374" t="s">
        <v>93</v>
      </c>
      <c r="H13" s="375"/>
      <c r="I13" s="375"/>
      <c r="J13" s="376"/>
      <c r="K13" s="254">
        <f>'Podstawa wymiaru 10 lat SM'!$D$70</f>
        <v>0</v>
      </c>
      <c r="L13" s="15"/>
    </row>
    <row r="14" spans="1:33" ht="22.95" customHeight="1" thickBot="1" x14ac:dyDescent="0.35">
      <c r="A14" s="266"/>
      <c r="B14" s="267"/>
      <c r="C14" s="44">
        <f t="shared" si="0"/>
        <v>0</v>
      </c>
      <c r="D14" s="45">
        <f t="shared" si="1"/>
        <v>0</v>
      </c>
      <c r="E14" s="46">
        <f t="shared" si="2"/>
        <v>0</v>
      </c>
      <c r="G14" s="330" t="s">
        <v>90</v>
      </c>
      <c r="H14" s="331"/>
      <c r="I14" s="331"/>
      <c r="J14" s="332"/>
      <c r="K14" s="196"/>
      <c r="L14" s="184" t="str">
        <f>IF($H$9&lt;32,"wysługa (H9) &lt;32 lata","")</f>
        <v>wysługa (H9) &lt;32 lata</v>
      </c>
    </row>
    <row r="15" spans="1:33" ht="22.95" customHeight="1" thickBot="1" x14ac:dyDescent="0.35">
      <c r="A15" s="266"/>
      <c r="B15" s="267"/>
      <c r="C15" s="44">
        <f t="shared" si="0"/>
        <v>0</v>
      </c>
      <c r="D15" s="45">
        <f t="shared" si="1"/>
        <v>0</v>
      </c>
      <c r="E15" s="46">
        <f t="shared" si="2"/>
        <v>0</v>
      </c>
      <c r="G15" s="333" t="s">
        <v>92</v>
      </c>
      <c r="H15" s="334"/>
      <c r="I15" s="334"/>
      <c r="J15" s="335"/>
      <c r="K15" s="255">
        <f>K13+K14</f>
        <v>0</v>
      </c>
      <c r="L15" s="67"/>
    </row>
    <row r="16" spans="1:33" ht="22.95" customHeight="1" thickBot="1" x14ac:dyDescent="0.35">
      <c r="A16" s="266"/>
      <c r="B16" s="267"/>
      <c r="C16" s="44">
        <f t="shared" si="0"/>
        <v>0</v>
      </c>
      <c r="D16" s="45">
        <f>IF((ISBLANK(A16)=TRUE),0,DATEDIF(A16,B16+1,"YM"))</f>
        <v>0</v>
      </c>
      <c r="E16" s="46">
        <f>IF((ISBLANK(A16)=TRUE),0,DATEDIF(A16,B16+1,"MD"))</f>
        <v>0</v>
      </c>
      <c r="G16" s="353" t="s">
        <v>24</v>
      </c>
      <c r="H16" s="354"/>
      <c r="I16" s="354"/>
      <c r="J16" s="355"/>
      <c r="K16" s="20">
        <f>K6</f>
        <v>0</v>
      </c>
      <c r="L16" s="67"/>
    </row>
    <row r="17" spans="1:13" ht="22.95" customHeight="1" thickBot="1" x14ac:dyDescent="0.35">
      <c r="A17" s="266"/>
      <c r="B17" s="267"/>
      <c r="C17" s="44">
        <f t="shared" si="0"/>
        <v>0</v>
      </c>
      <c r="D17" s="45">
        <f>IF((ISBLANK(A17)=TRUE),0,DATEDIF(A17,B17+1,"YM"))</f>
        <v>0</v>
      </c>
      <c r="E17" s="46">
        <f>IF((ISBLANK(A17)=TRUE),0,DATEDIF(A17,B17+1,"MD"))</f>
        <v>0</v>
      </c>
      <c r="G17" s="356" t="s">
        <v>73</v>
      </c>
      <c r="H17" s="357"/>
      <c r="I17" s="357"/>
      <c r="J17" s="358"/>
      <c r="K17" s="162">
        <f>ROUND(K15*K16,2)</f>
        <v>0</v>
      </c>
      <c r="L17" s="67"/>
    </row>
    <row r="18" spans="1:13" ht="22.95" customHeight="1" x14ac:dyDescent="0.3">
      <c r="A18" s="266"/>
      <c r="B18" s="267"/>
      <c r="C18" s="44">
        <f t="shared" si="0"/>
        <v>0</v>
      </c>
      <c r="D18" s="45">
        <f t="shared" si="1"/>
        <v>0</v>
      </c>
      <c r="E18" s="46">
        <f t="shared" si="2"/>
        <v>0</v>
      </c>
      <c r="G18" s="343" t="s">
        <v>58</v>
      </c>
      <c r="H18" s="344"/>
      <c r="I18" s="344"/>
      <c r="J18" s="345"/>
      <c r="K18" s="16">
        <f>MAX(ROUND(K17*$R$1,2),0)</f>
        <v>0</v>
      </c>
      <c r="M18" s="67"/>
    </row>
    <row r="19" spans="1:13" ht="22.95" customHeight="1" thickBot="1" x14ac:dyDescent="0.35">
      <c r="A19" s="266"/>
      <c r="B19" s="267"/>
      <c r="C19" s="44">
        <f t="shared" si="0"/>
        <v>0</v>
      </c>
      <c r="D19" s="45">
        <f t="shared" si="1"/>
        <v>0</v>
      </c>
      <c r="E19" s="46">
        <f t="shared" si="2"/>
        <v>0</v>
      </c>
      <c r="G19" s="346" t="s">
        <v>59</v>
      </c>
      <c r="H19" s="347"/>
      <c r="I19" s="347"/>
      <c r="J19" s="348"/>
      <c r="K19" s="17">
        <f>MAX(ROUND(ROUND(K17,0)*$S$1-$T$1,0),0)</f>
        <v>0</v>
      </c>
      <c r="M19" s="67"/>
    </row>
    <row r="20" spans="1:13" ht="22.95" customHeight="1" thickBot="1" x14ac:dyDescent="0.35">
      <c r="A20" s="268"/>
      <c r="B20" s="269"/>
      <c r="C20" s="73">
        <f t="shared" si="0"/>
        <v>0</v>
      </c>
      <c r="D20" s="74">
        <f t="shared" si="1"/>
        <v>0</v>
      </c>
      <c r="E20" s="75">
        <f t="shared" si="2"/>
        <v>0</v>
      </c>
      <c r="G20" s="339" t="s">
        <v>72</v>
      </c>
      <c r="H20" s="340"/>
      <c r="I20" s="340"/>
      <c r="J20" s="341"/>
      <c r="K20" s="18">
        <f>K17-K18-K19</f>
        <v>0</v>
      </c>
      <c r="M20" s="67"/>
    </row>
    <row r="21" spans="1:13" ht="22.95" customHeight="1" thickBot="1" x14ac:dyDescent="0.35">
      <c r="A21" s="336" t="s">
        <v>28</v>
      </c>
      <c r="B21" s="342"/>
      <c r="C21" s="76">
        <f>SUM(C10:C20)+INT((SUM(D10:D20)+INT(SUM(E10:E20)/30))/12)</f>
        <v>0</v>
      </c>
      <c r="D21" s="76">
        <f>MOD(SUM(D10:D20)+INT(SUM(E10:E20)/30),12)</f>
        <v>0</v>
      </c>
      <c r="E21" s="77">
        <f>MOD(SUM(E10:E20),30)</f>
        <v>0</v>
      </c>
      <c r="M21" s="67"/>
    </row>
    <row r="22" spans="1:13" ht="22.95" customHeight="1" thickBot="1" x14ac:dyDescent="0.35">
      <c r="A22" s="152"/>
      <c r="B22" s="152"/>
      <c r="C22" s="152"/>
      <c r="D22" s="152"/>
      <c r="E22" s="152"/>
      <c r="G22" s="410" t="s">
        <v>96</v>
      </c>
      <c r="H22" s="410"/>
      <c r="I22" s="410"/>
      <c r="J22" s="410"/>
      <c r="K22" s="410"/>
    </row>
    <row r="23" spans="1:13" ht="22.95" customHeight="1" thickBot="1" x14ac:dyDescent="0.35">
      <c r="A23" s="386" t="s">
        <v>49</v>
      </c>
      <c r="B23" s="392"/>
      <c r="C23" s="392"/>
      <c r="D23" s="392"/>
      <c r="E23" s="393"/>
      <c r="G23" s="410"/>
      <c r="H23" s="410"/>
      <c r="I23" s="410"/>
      <c r="J23" s="410"/>
      <c r="K23" s="410"/>
      <c r="L23" s="151"/>
    </row>
    <row r="24" spans="1:13" ht="22.95" customHeight="1" thickBot="1" x14ac:dyDescent="0.35">
      <c r="A24" s="78" t="s">
        <v>30</v>
      </c>
      <c r="B24" s="79" t="s">
        <v>31</v>
      </c>
      <c r="C24" s="78" t="s">
        <v>25</v>
      </c>
      <c r="D24" s="80" t="s">
        <v>27</v>
      </c>
      <c r="E24" s="81" t="s">
        <v>17</v>
      </c>
      <c r="G24" s="410"/>
      <c r="H24" s="410"/>
      <c r="I24" s="410"/>
      <c r="J24" s="410"/>
      <c r="K24" s="410"/>
    </row>
    <row r="25" spans="1:13" ht="22.95" customHeight="1" x14ac:dyDescent="0.3">
      <c r="A25" s="264"/>
      <c r="B25" s="265"/>
      <c r="C25" s="40">
        <f>IF((ISBLANK(A25)=TRUE),0,DATEDIF(A25,B25+1,"Y"))</f>
        <v>0</v>
      </c>
      <c r="D25" s="41">
        <f t="shared" ref="D25:D40" si="3">IF((ISBLANK(A25)=TRUE),0,DATEDIF(A25,B25+1,"YM"))</f>
        <v>0</v>
      </c>
      <c r="E25" s="42">
        <f t="shared" ref="E25:E40" si="4">IF((ISBLANK(A25)=TRUE),0,DATEDIF(A25,B25+1,"MD"))</f>
        <v>0</v>
      </c>
    </row>
    <row r="26" spans="1:13" ht="22.95" customHeight="1" x14ac:dyDescent="0.3">
      <c r="A26" s="266"/>
      <c r="B26" s="267"/>
      <c r="C26" s="44">
        <f>IF((ISBLANK(A26)=TRUE),0,DATEDIF(A26,B26+1,"Y"))</f>
        <v>0</v>
      </c>
      <c r="D26" s="45">
        <f t="shared" si="3"/>
        <v>0</v>
      </c>
      <c r="E26" s="46">
        <f t="shared" si="4"/>
        <v>0</v>
      </c>
      <c r="G26" s="274" t="s">
        <v>61</v>
      </c>
      <c r="H26" s="274"/>
      <c r="I26" s="274"/>
      <c r="J26" s="274"/>
      <c r="K26" s="274"/>
    </row>
    <row r="27" spans="1:13" ht="22.95" customHeight="1" x14ac:dyDescent="0.3">
      <c r="A27" s="266"/>
      <c r="B27" s="267"/>
      <c r="C27" s="44">
        <f>IF((ISBLANK(A27)=TRUE),0,DATEDIF(A27,B27+1,"Y"))</f>
        <v>0</v>
      </c>
      <c r="D27" s="45">
        <f t="shared" si="3"/>
        <v>0</v>
      </c>
      <c r="E27" s="46">
        <f t="shared" si="4"/>
        <v>0</v>
      </c>
      <c r="G27" s="274"/>
      <c r="H27" s="274"/>
      <c r="I27" s="274"/>
      <c r="J27" s="274"/>
      <c r="K27" s="274"/>
    </row>
    <row r="28" spans="1:13" ht="22.95" customHeight="1" x14ac:dyDescent="0.3">
      <c r="A28" s="266"/>
      <c r="B28" s="267"/>
      <c r="C28" s="44">
        <f t="shared" ref="C28:C40" si="5">IF((ISBLANK(A28)=TRUE),0,DATEDIF(A28,B28+1,"Y"))</f>
        <v>0</v>
      </c>
      <c r="D28" s="45">
        <f t="shared" si="3"/>
        <v>0</v>
      </c>
      <c r="E28" s="46">
        <f t="shared" si="4"/>
        <v>0</v>
      </c>
      <c r="G28" s="274"/>
      <c r="H28" s="274"/>
      <c r="I28" s="274"/>
      <c r="J28" s="274"/>
      <c r="K28" s="274"/>
    </row>
    <row r="29" spans="1:13" ht="22.95" customHeight="1" x14ac:dyDescent="0.3">
      <c r="A29" s="266"/>
      <c r="B29" s="267"/>
      <c r="C29" s="44">
        <f t="shared" si="5"/>
        <v>0</v>
      </c>
      <c r="D29" s="45">
        <f t="shared" si="3"/>
        <v>0</v>
      </c>
      <c r="E29" s="46">
        <f t="shared" si="4"/>
        <v>0</v>
      </c>
      <c r="G29" s="123"/>
      <c r="H29" s="14"/>
      <c r="I29" s="14"/>
      <c r="J29" s="14"/>
      <c r="L29" s="43"/>
      <c r="M29" s="14"/>
    </row>
    <row r="30" spans="1:13" ht="22.95" customHeight="1" x14ac:dyDescent="0.3">
      <c r="A30" s="266"/>
      <c r="B30" s="267"/>
      <c r="C30" s="44">
        <f t="shared" si="5"/>
        <v>0</v>
      </c>
      <c r="D30" s="45">
        <f t="shared" si="3"/>
        <v>0</v>
      </c>
      <c r="E30" s="46">
        <f t="shared" si="4"/>
        <v>0</v>
      </c>
      <c r="G30" s="123"/>
      <c r="H30" s="14"/>
      <c r="I30" s="14"/>
      <c r="J30" s="14"/>
      <c r="L30" s="14"/>
      <c r="M30" s="43"/>
    </row>
    <row r="31" spans="1:13" ht="22.95" customHeight="1" x14ac:dyDescent="0.3">
      <c r="A31" s="266"/>
      <c r="B31" s="267"/>
      <c r="C31" s="44">
        <f t="shared" si="5"/>
        <v>0</v>
      </c>
      <c r="D31" s="45">
        <f t="shared" si="3"/>
        <v>0</v>
      </c>
      <c r="E31" s="46">
        <f t="shared" si="4"/>
        <v>0</v>
      </c>
    </row>
    <row r="32" spans="1:13" ht="22.95" customHeight="1" x14ac:dyDescent="0.3">
      <c r="A32" s="266"/>
      <c r="B32" s="267"/>
      <c r="C32" s="44">
        <f t="shared" ref="C32:C38" si="6">IF((ISBLANK(A32)=TRUE),0,DATEDIF(A32,B32+1,"Y"))</f>
        <v>0</v>
      </c>
      <c r="D32" s="45">
        <f t="shared" ref="D32:D38" si="7">IF((ISBLANK(A32)=TRUE),0,DATEDIF(A32,B32+1,"YM"))</f>
        <v>0</v>
      </c>
      <c r="E32" s="46">
        <f t="shared" ref="E32:E38" si="8">IF((ISBLANK(A32)=TRUE),0,DATEDIF(A32,B32+1,"MD"))</f>
        <v>0</v>
      </c>
      <c r="G32" s="123"/>
      <c r="H32" s="172"/>
      <c r="I32" s="172"/>
      <c r="J32" s="14"/>
    </row>
    <row r="33" spans="1:10" ht="22.95" customHeight="1" x14ac:dyDescent="0.3">
      <c r="A33" s="266"/>
      <c r="B33" s="267"/>
      <c r="C33" s="44">
        <f t="shared" si="6"/>
        <v>0</v>
      </c>
      <c r="D33" s="45">
        <f t="shared" si="7"/>
        <v>0</v>
      </c>
      <c r="E33" s="46">
        <f t="shared" si="8"/>
        <v>0</v>
      </c>
      <c r="G33" s="123"/>
      <c r="H33" s="172"/>
      <c r="I33" s="172"/>
      <c r="J33" s="14"/>
    </row>
    <row r="34" spans="1:10" ht="22.95" customHeight="1" x14ac:dyDescent="0.3">
      <c r="A34" s="266"/>
      <c r="B34" s="267"/>
      <c r="C34" s="44">
        <f t="shared" si="6"/>
        <v>0</v>
      </c>
      <c r="D34" s="45">
        <f t="shared" si="7"/>
        <v>0</v>
      </c>
      <c r="E34" s="46">
        <f t="shared" si="8"/>
        <v>0</v>
      </c>
      <c r="G34" s="123"/>
      <c r="H34" s="172"/>
      <c r="I34" s="172"/>
      <c r="J34" s="14"/>
    </row>
    <row r="35" spans="1:10" ht="22.95" customHeight="1" x14ac:dyDescent="0.3">
      <c r="A35" s="266"/>
      <c r="B35" s="267"/>
      <c r="C35" s="44">
        <f t="shared" si="6"/>
        <v>0</v>
      </c>
      <c r="D35" s="45">
        <f t="shared" si="7"/>
        <v>0</v>
      </c>
      <c r="E35" s="46">
        <f t="shared" si="8"/>
        <v>0</v>
      </c>
      <c r="G35" s="123"/>
      <c r="H35" s="172"/>
      <c r="I35" s="172"/>
      <c r="J35" s="14"/>
    </row>
    <row r="36" spans="1:10" ht="22.95" customHeight="1" x14ac:dyDescent="0.3">
      <c r="A36" s="266"/>
      <c r="B36" s="267"/>
      <c r="C36" s="44">
        <f t="shared" si="6"/>
        <v>0</v>
      </c>
      <c r="D36" s="45">
        <f t="shared" si="7"/>
        <v>0</v>
      </c>
      <c r="E36" s="46">
        <f t="shared" si="8"/>
        <v>0</v>
      </c>
      <c r="G36" s="123"/>
      <c r="H36" s="172"/>
      <c r="I36" s="172"/>
      <c r="J36" s="14"/>
    </row>
    <row r="37" spans="1:10" ht="22.95" customHeight="1" x14ac:dyDescent="0.3">
      <c r="A37" s="266"/>
      <c r="B37" s="267"/>
      <c r="C37" s="44">
        <f t="shared" si="6"/>
        <v>0</v>
      </c>
      <c r="D37" s="45">
        <f t="shared" si="7"/>
        <v>0</v>
      </c>
      <c r="E37" s="46">
        <f t="shared" si="8"/>
        <v>0</v>
      </c>
      <c r="G37" s="123"/>
      <c r="H37" s="172"/>
      <c r="I37" s="172"/>
      <c r="J37" s="14"/>
    </row>
    <row r="38" spans="1:10" ht="22.95" customHeight="1" x14ac:dyDescent="0.3">
      <c r="A38" s="266"/>
      <c r="B38" s="267"/>
      <c r="C38" s="44">
        <f t="shared" si="6"/>
        <v>0</v>
      </c>
      <c r="D38" s="45">
        <f t="shared" si="7"/>
        <v>0</v>
      </c>
      <c r="E38" s="46">
        <f t="shared" si="8"/>
        <v>0</v>
      </c>
      <c r="G38" s="123"/>
      <c r="H38" s="102"/>
      <c r="I38" s="102"/>
      <c r="J38" s="14"/>
    </row>
    <row r="39" spans="1:10" ht="22.95" customHeight="1" x14ac:dyDescent="0.3">
      <c r="A39" s="266"/>
      <c r="B39" s="267"/>
      <c r="C39" s="44">
        <f t="shared" si="5"/>
        <v>0</v>
      </c>
      <c r="D39" s="45">
        <f t="shared" si="3"/>
        <v>0</v>
      </c>
      <c r="E39" s="46">
        <f t="shared" si="4"/>
        <v>0</v>
      </c>
      <c r="G39" s="123"/>
      <c r="H39" s="47"/>
      <c r="I39" s="47"/>
      <c r="J39" s="14"/>
    </row>
    <row r="40" spans="1:10" ht="22.95" customHeight="1" thickBot="1" x14ac:dyDescent="0.35">
      <c r="A40" s="268"/>
      <c r="B40" s="269"/>
      <c r="C40" s="73">
        <f t="shared" si="5"/>
        <v>0</v>
      </c>
      <c r="D40" s="74">
        <f t="shared" si="3"/>
        <v>0</v>
      </c>
      <c r="E40" s="75">
        <f t="shared" si="4"/>
        <v>0</v>
      </c>
      <c r="G40" s="123"/>
      <c r="H40" s="103"/>
      <c r="I40" s="103"/>
      <c r="J40" s="14"/>
    </row>
    <row r="41" spans="1:10" ht="22.95" customHeight="1" thickBot="1" x14ac:dyDescent="0.35">
      <c r="A41" s="386" t="s">
        <v>28</v>
      </c>
      <c r="B41" s="387"/>
      <c r="C41" s="84">
        <f>SUM(C25:C40)+INT((SUM(D25:D40)+INT(SUM(E25:E40)/30))/12)</f>
        <v>0</v>
      </c>
      <c r="D41" s="85">
        <f>MOD(SUM(D25:D40)+INT(SUM(E25:E40)/30),12)</f>
        <v>0</v>
      </c>
      <c r="E41" s="86">
        <f>MOD(SUM(E25:E40),30)</f>
        <v>0</v>
      </c>
      <c r="G41" s="123"/>
      <c r="H41" s="103"/>
      <c r="I41" s="103"/>
      <c r="J41" s="14"/>
    </row>
    <row r="42" spans="1:10" ht="22.95" customHeight="1" x14ac:dyDescent="0.3">
      <c r="A42" s="87"/>
      <c r="B42" s="87"/>
      <c r="C42" s="3"/>
      <c r="D42" s="3"/>
      <c r="E42" s="3"/>
      <c r="G42" s="123"/>
      <c r="H42" s="69"/>
      <c r="I42" s="69"/>
      <c r="J42" s="14"/>
    </row>
    <row r="43" spans="1:10" ht="22.95" customHeight="1" thickBot="1" x14ac:dyDescent="0.35">
      <c r="A43" s="87"/>
      <c r="B43" s="87"/>
      <c r="C43" s="3"/>
      <c r="D43" s="3"/>
      <c r="E43" s="3"/>
      <c r="G43" s="123"/>
      <c r="H43" s="69"/>
      <c r="I43" s="69"/>
      <c r="J43" s="14"/>
    </row>
    <row r="44" spans="1:10" ht="30" customHeight="1" thickBot="1" x14ac:dyDescent="0.35">
      <c r="A44" s="396" t="s">
        <v>111</v>
      </c>
      <c r="B44" s="397"/>
      <c r="C44" s="397"/>
      <c r="D44" s="397"/>
      <c r="E44" s="398"/>
      <c r="G44" s="123"/>
      <c r="H44" s="69"/>
      <c r="I44" s="69"/>
      <c r="J44" s="14"/>
    </row>
    <row r="45" spans="1:10" ht="22.95" customHeight="1" thickBot="1" x14ac:dyDescent="0.35">
      <c r="A45" s="95" t="s">
        <v>30</v>
      </c>
      <c r="B45" s="96" t="s">
        <v>31</v>
      </c>
      <c r="C45" s="95" t="s">
        <v>25</v>
      </c>
      <c r="D45" s="97" t="s">
        <v>27</v>
      </c>
      <c r="E45" s="98" t="s">
        <v>17</v>
      </c>
      <c r="G45" s="123"/>
      <c r="H45" s="69"/>
      <c r="I45" s="69"/>
      <c r="J45" s="14"/>
    </row>
    <row r="46" spans="1:10" ht="22.95" customHeight="1" x14ac:dyDescent="0.3">
      <c r="A46" s="264"/>
      <c r="B46" s="265"/>
      <c r="C46" s="40">
        <f>IF( B46&gt;$B$79,"błąd",IF((ISBLANK(A46)=TRUE),0,DATEDIF(A46,B46+1,"Y")))</f>
        <v>0</v>
      </c>
      <c r="D46" s="41">
        <f>IF(B46&gt;$B$79, "błąd",IF((ISBLANK(A46)=TRUE),0,DATEDIF(A46,B46+1,"YM")))</f>
        <v>0</v>
      </c>
      <c r="E46" s="42">
        <f>IF(B46&gt;$B$79,"błąd",IF((ISBLANK(A46)=TRUE),0,DATEDIF(A46,B46+1,"MD")))</f>
        <v>0</v>
      </c>
      <c r="G46" s="123"/>
      <c r="H46" s="69"/>
      <c r="I46" s="69"/>
      <c r="J46" s="14"/>
    </row>
    <row r="47" spans="1:10" ht="22.95" customHeight="1" x14ac:dyDescent="0.3">
      <c r="A47" s="266"/>
      <c r="B47" s="267"/>
      <c r="C47" s="99">
        <f>IF( B47&gt;$B$79,"błąd",IF((ISBLANK(A47)=TRUE),0,DATEDIF(A47,B47+1,"Y")))</f>
        <v>0</v>
      </c>
      <c r="D47" s="100">
        <f>IF(B47&gt;$B$79, "błąd",IF((ISBLANK(A47)=TRUE),0,DATEDIF(A47,B47+1,"YM")))</f>
        <v>0</v>
      </c>
      <c r="E47" s="101">
        <f>IF(B47&gt;$B$79,"błąd",IF((ISBLANK(A47)=TRUE),0,DATEDIF(A47,B47+1,"MD")))</f>
        <v>0</v>
      </c>
      <c r="G47" s="123"/>
      <c r="H47" s="69"/>
      <c r="I47" s="69"/>
      <c r="J47" s="14"/>
    </row>
    <row r="48" spans="1:10" ht="22.95" customHeight="1" x14ac:dyDescent="0.3">
      <c r="A48" s="266"/>
      <c r="B48" s="267"/>
      <c r="C48" s="99">
        <f>IF( B48&gt;$B$79,"błąd",IF((ISBLANK(A48)=TRUE),0,DATEDIF(A48,B48+1,"Y")))</f>
        <v>0</v>
      </c>
      <c r="D48" s="100">
        <f>IF(B48&gt;$B$79, "błąd",IF((ISBLANK(A48)=TRUE),0,DATEDIF(A48,B48+1,"YM")))</f>
        <v>0</v>
      </c>
      <c r="E48" s="101">
        <f>IF(B48&gt;$B$79,"błąd",IF((ISBLANK(A48)=TRUE),0,DATEDIF(A48,B48+1,"MD")))</f>
        <v>0</v>
      </c>
      <c r="G48" s="123"/>
      <c r="H48" s="69"/>
      <c r="I48" s="69"/>
      <c r="J48" s="14"/>
    </row>
    <row r="49" spans="1:7" ht="22.95" customHeight="1" x14ac:dyDescent="0.3">
      <c r="A49" s="266"/>
      <c r="B49" s="267"/>
      <c r="C49" s="99">
        <f t="shared" ref="C49:C72" si="9">IF( B49&gt;$B$79,"błąd",IF((ISBLANK(A49)=TRUE),0,DATEDIF(A49,B49+1,"Y")))</f>
        <v>0</v>
      </c>
      <c r="D49" s="100">
        <f t="shared" ref="D49:D72" si="10">IF(B49&gt;$B$79, "błąd",IF((ISBLANK(A49)=TRUE),0,DATEDIF(A49,B49+1,"YM")))</f>
        <v>0</v>
      </c>
      <c r="E49" s="101">
        <f t="shared" ref="E49:E72" si="11">IF(B49&gt;$B$79,"błąd",IF((ISBLANK(A49)=TRUE),0,DATEDIF(A49,B49+1,"MD")))</f>
        <v>0</v>
      </c>
      <c r="G49" s="123"/>
    </row>
    <row r="50" spans="1:7" ht="22.95" customHeight="1" x14ac:dyDescent="0.3">
      <c r="A50" s="266"/>
      <c r="B50" s="267"/>
      <c r="C50" s="99">
        <f t="shared" si="9"/>
        <v>0</v>
      </c>
      <c r="D50" s="100">
        <f t="shared" si="10"/>
        <v>0</v>
      </c>
      <c r="E50" s="101">
        <f t="shared" si="11"/>
        <v>0</v>
      </c>
    </row>
    <row r="51" spans="1:7" ht="22.95" customHeight="1" x14ac:dyDescent="0.3">
      <c r="A51" s="266"/>
      <c r="B51" s="267"/>
      <c r="C51" s="99">
        <f t="shared" si="9"/>
        <v>0</v>
      </c>
      <c r="D51" s="100">
        <f t="shared" si="10"/>
        <v>0</v>
      </c>
      <c r="E51" s="101">
        <f t="shared" si="11"/>
        <v>0</v>
      </c>
    </row>
    <row r="52" spans="1:7" ht="22.95" customHeight="1" x14ac:dyDescent="0.3">
      <c r="A52" s="266"/>
      <c r="B52" s="267"/>
      <c r="C52" s="99">
        <f t="shared" si="9"/>
        <v>0</v>
      </c>
      <c r="D52" s="100">
        <f t="shared" si="10"/>
        <v>0</v>
      </c>
      <c r="E52" s="101">
        <f t="shared" si="11"/>
        <v>0</v>
      </c>
    </row>
    <row r="53" spans="1:7" ht="22.95" customHeight="1" x14ac:dyDescent="0.3">
      <c r="A53" s="266"/>
      <c r="B53" s="267"/>
      <c r="C53" s="99">
        <f t="shared" si="9"/>
        <v>0</v>
      </c>
      <c r="D53" s="100">
        <f t="shared" si="10"/>
        <v>0</v>
      </c>
      <c r="E53" s="101">
        <f t="shared" si="11"/>
        <v>0</v>
      </c>
    </row>
    <row r="54" spans="1:7" ht="22.95" customHeight="1" x14ac:dyDescent="0.3">
      <c r="A54" s="266"/>
      <c r="B54" s="267"/>
      <c r="C54" s="99">
        <f t="shared" si="9"/>
        <v>0</v>
      </c>
      <c r="D54" s="100">
        <f t="shared" si="10"/>
        <v>0</v>
      </c>
      <c r="E54" s="101">
        <f t="shared" si="11"/>
        <v>0</v>
      </c>
    </row>
    <row r="55" spans="1:7" ht="22.95" customHeight="1" x14ac:dyDescent="0.3">
      <c r="A55" s="266"/>
      <c r="B55" s="267"/>
      <c r="C55" s="99">
        <f t="shared" si="9"/>
        <v>0</v>
      </c>
      <c r="D55" s="100">
        <f t="shared" si="10"/>
        <v>0</v>
      </c>
      <c r="E55" s="101">
        <f t="shared" si="11"/>
        <v>0</v>
      </c>
    </row>
    <row r="56" spans="1:7" ht="22.95" customHeight="1" x14ac:dyDescent="0.3">
      <c r="A56" s="266"/>
      <c r="B56" s="267"/>
      <c r="C56" s="99">
        <f t="shared" si="9"/>
        <v>0</v>
      </c>
      <c r="D56" s="100">
        <f t="shared" si="10"/>
        <v>0</v>
      </c>
      <c r="E56" s="101">
        <f t="shared" si="11"/>
        <v>0</v>
      </c>
    </row>
    <row r="57" spans="1:7" ht="22.95" customHeight="1" x14ac:dyDescent="0.3">
      <c r="A57" s="266"/>
      <c r="B57" s="267"/>
      <c r="C57" s="99">
        <f t="shared" si="9"/>
        <v>0</v>
      </c>
      <c r="D57" s="100">
        <f t="shared" si="10"/>
        <v>0</v>
      </c>
      <c r="E57" s="101">
        <f t="shared" si="11"/>
        <v>0</v>
      </c>
    </row>
    <row r="58" spans="1:7" ht="22.95" customHeight="1" x14ac:dyDescent="0.3">
      <c r="A58" s="266"/>
      <c r="B58" s="267"/>
      <c r="C58" s="99">
        <f t="shared" si="9"/>
        <v>0</v>
      </c>
      <c r="D58" s="100">
        <f t="shared" si="10"/>
        <v>0</v>
      </c>
      <c r="E58" s="101">
        <f t="shared" si="11"/>
        <v>0</v>
      </c>
    </row>
    <row r="59" spans="1:7" ht="22.95" customHeight="1" x14ac:dyDescent="0.3">
      <c r="A59" s="266"/>
      <c r="B59" s="267"/>
      <c r="C59" s="99">
        <f t="shared" si="9"/>
        <v>0</v>
      </c>
      <c r="D59" s="100">
        <f t="shared" si="10"/>
        <v>0</v>
      </c>
      <c r="E59" s="101">
        <f t="shared" si="11"/>
        <v>0</v>
      </c>
    </row>
    <row r="60" spans="1:7" ht="22.95" customHeight="1" x14ac:dyDescent="0.3">
      <c r="A60" s="266"/>
      <c r="B60" s="267"/>
      <c r="C60" s="99">
        <f t="shared" si="9"/>
        <v>0</v>
      </c>
      <c r="D60" s="100">
        <f t="shared" si="10"/>
        <v>0</v>
      </c>
      <c r="E60" s="101">
        <f t="shared" si="11"/>
        <v>0</v>
      </c>
    </row>
    <row r="61" spans="1:7" ht="22.95" customHeight="1" x14ac:dyDescent="0.3">
      <c r="A61" s="266"/>
      <c r="B61" s="267"/>
      <c r="C61" s="99">
        <f t="shared" si="9"/>
        <v>0</v>
      </c>
      <c r="D61" s="100">
        <f t="shared" si="10"/>
        <v>0</v>
      </c>
      <c r="E61" s="101">
        <f t="shared" si="11"/>
        <v>0</v>
      </c>
    </row>
    <row r="62" spans="1:7" ht="22.95" customHeight="1" x14ac:dyDescent="0.3">
      <c r="A62" s="266"/>
      <c r="B62" s="267"/>
      <c r="C62" s="99">
        <f t="shared" si="9"/>
        <v>0</v>
      </c>
      <c r="D62" s="100">
        <f t="shared" si="10"/>
        <v>0</v>
      </c>
      <c r="E62" s="101">
        <f t="shared" si="11"/>
        <v>0</v>
      </c>
    </row>
    <row r="63" spans="1:7" ht="22.95" customHeight="1" x14ac:dyDescent="0.3">
      <c r="A63" s="266"/>
      <c r="B63" s="267"/>
      <c r="C63" s="99">
        <f t="shared" si="9"/>
        <v>0</v>
      </c>
      <c r="D63" s="100">
        <f t="shared" si="10"/>
        <v>0</v>
      </c>
      <c r="E63" s="101">
        <f t="shared" si="11"/>
        <v>0</v>
      </c>
    </row>
    <row r="64" spans="1:7" ht="22.95" customHeight="1" x14ac:dyDescent="0.3">
      <c r="A64" s="266"/>
      <c r="B64" s="267"/>
      <c r="C64" s="99">
        <f t="shared" si="9"/>
        <v>0</v>
      </c>
      <c r="D64" s="100">
        <f t="shared" si="10"/>
        <v>0</v>
      </c>
      <c r="E64" s="101">
        <f t="shared" si="11"/>
        <v>0</v>
      </c>
    </row>
    <row r="65" spans="1:5" ht="22.95" customHeight="1" x14ac:dyDescent="0.3">
      <c r="A65" s="266"/>
      <c r="B65" s="267"/>
      <c r="C65" s="99">
        <f t="shared" si="9"/>
        <v>0</v>
      </c>
      <c r="D65" s="100">
        <f t="shared" si="10"/>
        <v>0</v>
      </c>
      <c r="E65" s="101">
        <f t="shared" si="11"/>
        <v>0</v>
      </c>
    </row>
    <row r="66" spans="1:5" ht="22.95" customHeight="1" x14ac:dyDescent="0.3">
      <c r="A66" s="266"/>
      <c r="B66" s="267"/>
      <c r="C66" s="99">
        <f t="shared" si="9"/>
        <v>0</v>
      </c>
      <c r="D66" s="100">
        <f t="shared" si="10"/>
        <v>0</v>
      </c>
      <c r="E66" s="101">
        <f t="shared" si="11"/>
        <v>0</v>
      </c>
    </row>
    <row r="67" spans="1:5" ht="22.95" customHeight="1" x14ac:dyDescent="0.3">
      <c r="A67" s="266"/>
      <c r="B67" s="267"/>
      <c r="C67" s="99">
        <f t="shared" si="9"/>
        <v>0</v>
      </c>
      <c r="D67" s="100">
        <f t="shared" si="10"/>
        <v>0</v>
      </c>
      <c r="E67" s="101">
        <f t="shared" si="11"/>
        <v>0</v>
      </c>
    </row>
    <row r="68" spans="1:5" ht="22.95" customHeight="1" x14ac:dyDescent="0.3">
      <c r="A68" s="266"/>
      <c r="B68" s="267"/>
      <c r="C68" s="99">
        <f t="shared" si="9"/>
        <v>0</v>
      </c>
      <c r="D68" s="100">
        <f t="shared" si="10"/>
        <v>0</v>
      </c>
      <c r="E68" s="101">
        <f t="shared" si="11"/>
        <v>0</v>
      </c>
    </row>
    <row r="69" spans="1:5" ht="22.95" customHeight="1" x14ac:dyDescent="0.3">
      <c r="A69" s="266"/>
      <c r="B69" s="267"/>
      <c r="C69" s="99">
        <f t="shared" si="9"/>
        <v>0</v>
      </c>
      <c r="D69" s="100">
        <f t="shared" si="10"/>
        <v>0</v>
      </c>
      <c r="E69" s="101">
        <f t="shared" si="11"/>
        <v>0</v>
      </c>
    </row>
    <row r="70" spans="1:5" ht="22.95" customHeight="1" x14ac:dyDescent="0.3">
      <c r="A70" s="266"/>
      <c r="B70" s="267"/>
      <c r="C70" s="99">
        <f t="shared" si="9"/>
        <v>0</v>
      </c>
      <c r="D70" s="100">
        <f t="shared" si="10"/>
        <v>0</v>
      </c>
      <c r="E70" s="101">
        <f t="shared" si="11"/>
        <v>0</v>
      </c>
    </row>
    <row r="71" spans="1:5" ht="22.95" customHeight="1" x14ac:dyDescent="0.3">
      <c r="A71" s="266"/>
      <c r="B71" s="267"/>
      <c r="C71" s="99">
        <f t="shared" si="9"/>
        <v>0</v>
      </c>
      <c r="D71" s="100">
        <f t="shared" si="10"/>
        <v>0</v>
      </c>
      <c r="E71" s="101">
        <f t="shared" si="11"/>
        <v>0</v>
      </c>
    </row>
    <row r="72" spans="1:5" ht="22.95" customHeight="1" x14ac:dyDescent="0.3">
      <c r="A72" s="266"/>
      <c r="B72" s="267"/>
      <c r="C72" s="99">
        <f t="shared" si="9"/>
        <v>0</v>
      </c>
      <c r="D72" s="100">
        <f t="shared" si="10"/>
        <v>0</v>
      </c>
      <c r="E72" s="101">
        <f t="shared" si="11"/>
        <v>0</v>
      </c>
    </row>
    <row r="73" spans="1:5" ht="22.95" customHeight="1" x14ac:dyDescent="0.3">
      <c r="A73" s="266"/>
      <c r="B73" s="267"/>
      <c r="C73" s="99">
        <f>IF( B73&gt;$B$79,"błąd",IF((ISBLANK(A73)=TRUE),0,DATEDIF(A73,B73+1,"Y")))</f>
        <v>0</v>
      </c>
      <c r="D73" s="100">
        <f>IF(B73&gt;$B$79, "błąd",IF((ISBLANK(A73)=TRUE),0,DATEDIF(A73,B73+1,"YM")))</f>
        <v>0</v>
      </c>
      <c r="E73" s="101">
        <f>IF(B73&gt;$B$79,"błąd",IF((ISBLANK(A73)=TRUE),0,DATEDIF(A73,B73+1,"MD")))</f>
        <v>0</v>
      </c>
    </row>
    <row r="74" spans="1:5" ht="22.95" customHeight="1" x14ac:dyDescent="0.3">
      <c r="A74" s="266"/>
      <c r="B74" s="267"/>
      <c r="C74" s="99">
        <f>IF( B74&gt;$B$79,"błąd",IF((ISBLANK(A74)=TRUE),0,DATEDIF(A74,B74+1,"Y")))</f>
        <v>0</v>
      </c>
      <c r="D74" s="100">
        <f>IF(B74&gt;$B$79, "błąd",IF((ISBLANK(A74)=TRUE),0,DATEDIF(A74,B74+1,"YM")))</f>
        <v>0</v>
      </c>
      <c r="E74" s="101">
        <f>IF(B74&gt;$B$79,"błąd",IF((ISBLANK(A74)=TRUE),0,DATEDIF(A74,B74+1,"MD")))</f>
        <v>0</v>
      </c>
    </row>
    <row r="75" spans="1:5" ht="22.95" customHeight="1" x14ac:dyDescent="0.3">
      <c r="A75" s="266"/>
      <c r="B75" s="267"/>
      <c r="C75" s="99">
        <f>IF( B75&gt;$B$79,"błąd",IF((ISBLANK(A75)=TRUE),0,DATEDIF(A75,B75+1,"Y")))</f>
        <v>0</v>
      </c>
      <c r="D75" s="100">
        <f>IF(B75&gt;$B$79, "błąd",IF((ISBLANK(A75)=TRUE),0,DATEDIF(A75,B75+1,"YM")))</f>
        <v>0</v>
      </c>
      <c r="E75" s="101">
        <f>IF(B75&gt;$B$79,"błąd",IF((ISBLANK(A75)=TRUE),0,DATEDIF(A75,B75+1,"MD")))</f>
        <v>0</v>
      </c>
    </row>
    <row r="76" spans="1:5" ht="22.95" customHeight="1" thickBot="1" x14ac:dyDescent="0.35">
      <c r="A76" s="268"/>
      <c r="B76" s="269"/>
      <c r="C76" s="99">
        <f>IF( B76&gt;$B$79,"błąd",IF((ISBLANK(A76)=TRUE),0,DATEDIF(A76,B76+1,"Y")))</f>
        <v>0</v>
      </c>
      <c r="D76" s="100">
        <f>IF(B76&gt;$B$79, "błąd",IF((ISBLANK(A76)=TRUE),0,DATEDIF(A76,B76+1,"YM")))</f>
        <v>0</v>
      </c>
      <c r="E76" s="101">
        <f>IF(B76&gt;$B$79,"błąd",IF((ISBLANK(A76)=TRUE),0,DATEDIF(A76,B76+1,"MD")))</f>
        <v>0</v>
      </c>
    </row>
    <row r="77" spans="1:5" ht="22.95" customHeight="1" thickBot="1" x14ac:dyDescent="0.35">
      <c r="A77" s="390" t="s">
        <v>118</v>
      </c>
      <c r="B77" s="391"/>
      <c r="C77" s="104">
        <f>SUM(C46:C76)+INT((SUM(D46:D76)+INT(SUM(E46:E76)/30))/12)</f>
        <v>0</v>
      </c>
      <c r="D77" s="104">
        <f>MOD(SUM(D46:D76)+INT(SUM(E46:E76)/30),12)</f>
        <v>0</v>
      </c>
      <c r="E77" s="105">
        <f>MOD(SUM(E46:E76),30)</f>
        <v>0</v>
      </c>
    </row>
    <row r="78" spans="1:5" ht="22.95" customHeight="1" thickBot="1" x14ac:dyDescent="0.35">
      <c r="A78" s="377" t="s">
        <v>119</v>
      </c>
      <c r="B78" s="378"/>
      <c r="C78" s="182">
        <f>INT(C77*1.5)+INT((D77+IF(MOD(C77*1.5,1)=0.5,6,0))/12)</f>
        <v>0</v>
      </c>
      <c r="D78" s="106">
        <f>MOD((D77+IF(MOD(C77*1.5,1)=0.5,6,0)),12)</f>
        <v>0</v>
      </c>
      <c r="E78" s="107">
        <f>E77</f>
        <v>0</v>
      </c>
    </row>
    <row r="79" spans="1:5" ht="19.95" customHeight="1" x14ac:dyDescent="0.3">
      <c r="A79" s="30"/>
      <c r="B79" s="108">
        <v>41274</v>
      </c>
      <c r="C79" s="109"/>
      <c r="D79" s="109"/>
      <c r="E79" s="109"/>
    </row>
    <row r="80" spans="1:5" ht="19.95" customHeight="1" x14ac:dyDescent="0.3">
      <c r="A80" s="30"/>
      <c r="B80" s="30"/>
      <c r="C80" s="109"/>
      <c r="D80" s="109"/>
      <c r="E80" s="109"/>
    </row>
    <row r="81" spans="1:5" ht="15" thickBot="1" x14ac:dyDescent="0.35">
      <c r="A81" s="411" t="s">
        <v>51</v>
      </c>
      <c r="B81" s="411"/>
      <c r="C81" s="411"/>
      <c r="D81" s="411"/>
      <c r="E81" s="411"/>
    </row>
    <row r="82" spans="1:5" ht="34.950000000000003" customHeight="1" thickBot="1" x14ac:dyDescent="0.35">
      <c r="A82" s="382" t="s">
        <v>54</v>
      </c>
      <c r="B82" s="383"/>
      <c r="C82" s="110">
        <f>C21</f>
        <v>0</v>
      </c>
      <c r="D82" s="110">
        <f t="shared" ref="D82:E82" si="12">D21</f>
        <v>0</v>
      </c>
      <c r="E82" s="111">
        <f t="shared" si="12"/>
        <v>0</v>
      </c>
    </row>
    <row r="83" spans="1:5" ht="31.95" customHeight="1" thickBot="1" x14ac:dyDescent="0.35">
      <c r="A83" s="384" t="s">
        <v>56</v>
      </c>
      <c r="B83" s="385"/>
      <c r="C83" s="124">
        <f>C78</f>
        <v>0</v>
      </c>
      <c r="D83" s="125">
        <f t="shared" ref="D83:E83" si="13">D78</f>
        <v>0</v>
      </c>
      <c r="E83" s="114">
        <f t="shared" si="13"/>
        <v>0</v>
      </c>
    </row>
    <row r="84" spans="1:5" ht="40.200000000000003" customHeight="1" thickBot="1" x14ac:dyDescent="0.35">
      <c r="A84" s="379" t="s">
        <v>53</v>
      </c>
      <c r="B84" s="380"/>
      <c r="C84" s="115">
        <f>SUM(C82:C83)+INT((SUM(D82:D83)+INT(SUM(E82:E83)/30))/12)</f>
        <v>0</v>
      </c>
      <c r="D84" s="116">
        <f>MOD((D82+D83)+INT((E82+E83)/30),12)</f>
        <v>0</v>
      </c>
      <c r="E84" s="117">
        <f>MOD((E82+E83),30)</f>
        <v>0</v>
      </c>
    </row>
    <row r="86" spans="1:5" ht="15" thickBot="1" x14ac:dyDescent="0.35">
      <c r="A86" s="381" t="s">
        <v>64</v>
      </c>
      <c r="B86" s="381"/>
      <c r="C86" s="381"/>
      <c r="D86" s="381"/>
      <c r="E86" s="381"/>
    </row>
    <row r="87" spans="1:5" ht="28.95" customHeight="1" thickBot="1" x14ac:dyDescent="0.35">
      <c r="A87" s="382" t="s">
        <v>52</v>
      </c>
      <c r="B87" s="383"/>
      <c r="C87" s="111">
        <f>C21</f>
        <v>0</v>
      </c>
      <c r="D87" s="111">
        <f t="shared" ref="D87:E87" si="14">D8</f>
        <v>0</v>
      </c>
      <c r="E87" s="181">
        <f t="shared" si="14"/>
        <v>0</v>
      </c>
    </row>
    <row r="88" spans="1:5" ht="42.6" customHeight="1" thickBot="1" x14ac:dyDescent="0.35">
      <c r="A88" s="384" t="s">
        <v>57</v>
      </c>
      <c r="B88" s="385"/>
      <c r="C88" s="113">
        <f>C77</f>
        <v>0</v>
      </c>
      <c r="D88" s="113">
        <f>D77</f>
        <v>0</v>
      </c>
      <c r="E88" s="114">
        <f>E77</f>
        <v>0</v>
      </c>
    </row>
    <row r="89" spans="1:5" ht="42" customHeight="1" thickBot="1" x14ac:dyDescent="0.35">
      <c r="A89" s="379" t="s">
        <v>63</v>
      </c>
      <c r="B89" s="380"/>
      <c r="C89" s="115">
        <f>SUM(C87:C88)+INT((SUM(D87:D88)+INT(SUM(E87:E88)/30))/12)</f>
        <v>0</v>
      </c>
      <c r="D89" s="116">
        <f>MOD((D87+D88)+INT((E87+E88)/30),12)</f>
        <v>0</v>
      </c>
      <c r="E89" s="117">
        <f>MOD((E87+E88),30)</f>
        <v>0</v>
      </c>
    </row>
  </sheetData>
  <sheetProtection algorithmName="SHA-512" hashValue="P0HJdVkmmE7iyl3+fR146oMpZXxZJ4qWC92mdsrs08jcSJuPz8ZL6+hidSiSS2SCRcSVdEUuyiL525RKkQpJ5Q==" saltValue="H6aY2DuCelBHA2HZ28oFHg==" spinCount="100000" sheet="1" objects="1" scenarios="1"/>
  <mergeCells count="37">
    <mergeCell ref="L4:L6"/>
    <mergeCell ref="G1:K2"/>
    <mergeCell ref="E4:E5"/>
    <mergeCell ref="A3:B3"/>
    <mergeCell ref="A4:B4"/>
    <mergeCell ref="A5:B5"/>
    <mergeCell ref="A1:E2"/>
    <mergeCell ref="A44:E44"/>
    <mergeCell ref="A81:E81"/>
    <mergeCell ref="A21:B21"/>
    <mergeCell ref="A23:E23"/>
    <mergeCell ref="A41:B41"/>
    <mergeCell ref="A88:B88"/>
    <mergeCell ref="A89:B89"/>
    <mergeCell ref="A84:B84"/>
    <mergeCell ref="A77:B77"/>
    <mergeCell ref="A78:B78"/>
    <mergeCell ref="A82:B82"/>
    <mergeCell ref="A83:B83"/>
    <mergeCell ref="A87:B87"/>
    <mergeCell ref="A86:E86"/>
    <mergeCell ref="A7:E7"/>
    <mergeCell ref="G19:J19"/>
    <mergeCell ref="G22:K24"/>
    <mergeCell ref="G26:K28"/>
    <mergeCell ref="H6:J6"/>
    <mergeCell ref="G18:J18"/>
    <mergeCell ref="A8:E8"/>
    <mergeCell ref="G20:J20"/>
    <mergeCell ref="G14:J14"/>
    <mergeCell ref="G15:J15"/>
    <mergeCell ref="G16:J16"/>
    <mergeCell ref="G17:J17"/>
    <mergeCell ref="G8:G9"/>
    <mergeCell ref="G12:J12"/>
    <mergeCell ref="G11:J11"/>
    <mergeCell ref="G13:J13"/>
  </mergeCells>
  <conditionalFormatting sqref="K14">
    <cfRule type="expression" dxfId="0" priority="1">
      <formula>$H$9&lt;32</formula>
    </cfRule>
  </conditionalFormatting>
  <dataValidations xWindow="510" yWindow="587" count="3">
    <dataValidation allowBlank="1" showInputMessage="1" showErrorMessage="1" prompt="Proszę wypenić pole w formacie daty, _x000a_tj.: RRRR-MM-DD, gdzie:_x000a_RRRR - rok_x000a_MM - miesiąc_x000a_DD - dzień" sqref="C5"/>
    <dataValidation type="date" allowBlank="1" showInputMessage="1" showErrorMessage="1" error="Data musi być późniejsza od 1999-01-01 i wcześniejsza od 2003-10-01_x000a_Data w formacie RRRR-MM-DD" prompt="Proszę wypenić pole w formacie daty, _x000a_tj.: RRRR-MM-DD, gdzie:_x000a_RRRR - rok_x000a_MM - miesiąc_x000a_DD - dzień" sqref="C4">
      <formula1>36162</formula1>
      <formula2>37894</formula2>
    </dataValidation>
    <dataValidation type="date" allowBlank="1" showInputMessage="1" showErrorMessage="1" error="Data w formacie RRRR-MM-DD" sqref="A10:B20 A25:B40 A46:B76">
      <formula1>1</formula1>
      <formula2>402133</formula2>
    </dataValidation>
  </dataValidations>
  <pageMargins left="0.31496062992125984" right="0.55000000000000004" top="0.48" bottom="0.23622047244094491" header="0.23622047244094491" footer="0.15748031496062992"/>
  <pageSetup paperSize="9" scale="91"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10" yWindow="587" count="1">
        <x14:dataValidation type="list" allowBlank="1" showInputMessage="1" showErrorMessage="1">
          <x14:formula1>
            <xm:f>Roboczy!$H$3:$H$15</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B1" workbookViewId="0">
      <selection activeCell="B1" sqref="A1:XFD1048576"/>
    </sheetView>
  </sheetViews>
  <sheetFormatPr defaultColWidth="19.6640625" defaultRowHeight="14.4" x14ac:dyDescent="0.3"/>
  <cols>
    <col min="1" max="16384" width="19.6640625" style="167"/>
  </cols>
  <sheetData>
    <row r="1" spans="1:10" x14ac:dyDescent="0.3">
      <c r="B1" s="167" t="s">
        <v>83</v>
      </c>
      <c r="H1" s="167" t="s">
        <v>71</v>
      </c>
    </row>
    <row r="2" spans="1:10" x14ac:dyDescent="0.3">
      <c r="A2" s="168" t="s">
        <v>2</v>
      </c>
      <c r="B2" s="168" t="s">
        <v>2</v>
      </c>
      <c r="C2" s="168" t="s">
        <v>2</v>
      </c>
      <c r="J2" s="167" t="s">
        <v>121</v>
      </c>
    </row>
    <row r="3" spans="1:10" x14ac:dyDescent="0.3">
      <c r="A3" s="168" t="s">
        <v>3</v>
      </c>
      <c r="B3" s="168" t="s">
        <v>3</v>
      </c>
      <c r="C3" s="168" t="s">
        <v>3</v>
      </c>
      <c r="F3" s="167" t="s">
        <v>38</v>
      </c>
      <c r="G3" s="169">
        <v>1</v>
      </c>
      <c r="H3" s="168" t="s">
        <v>2</v>
      </c>
      <c r="J3" s="167" t="s">
        <v>122</v>
      </c>
    </row>
    <row r="4" spans="1:10" x14ac:dyDescent="0.3">
      <c r="A4" s="168" t="s">
        <v>4</v>
      </c>
      <c r="B4" s="168" t="s">
        <v>4</v>
      </c>
      <c r="C4" s="168" t="s">
        <v>4</v>
      </c>
      <c r="F4" s="167" t="s">
        <v>36</v>
      </c>
      <c r="G4" s="169">
        <v>2</v>
      </c>
      <c r="H4" s="168" t="s">
        <v>3</v>
      </c>
    </row>
    <row r="5" spans="1:10" x14ac:dyDescent="0.3">
      <c r="A5" s="168" t="s">
        <v>5</v>
      </c>
      <c r="B5" s="168" t="s">
        <v>5</v>
      </c>
      <c r="C5" s="168" t="s">
        <v>18</v>
      </c>
      <c r="D5" s="170" t="s">
        <v>18</v>
      </c>
      <c r="F5" s="168" t="s">
        <v>37</v>
      </c>
      <c r="G5" s="169">
        <v>3</v>
      </c>
      <c r="H5" s="168" t="s">
        <v>4</v>
      </c>
    </row>
    <row r="6" spans="1:10" x14ac:dyDescent="0.3">
      <c r="A6" s="168" t="s">
        <v>18</v>
      </c>
      <c r="B6" s="168" t="s">
        <v>18</v>
      </c>
      <c r="C6" s="168" t="s">
        <v>5</v>
      </c>
      <c r="D6" s="170" t="s">
        <v>11</v>
      </c>
      <c r="F6" s="168" t="s">
        <v>39</v>
      </c>
      <c r="G6" s="169">
        <v>4</v>
      </c>
      <c r="H6" s="168" t="s">
        <v>5</v>
      </c>
    </row>
    <row r="7" spans="1:10" x14ac:dyDescent="0.3">
      <c r="A7" s="168" t="s">
        <v>11</v>
      </c>
      <c r="B7" s="168" t="s">
        <v>11</v>
      </c>
      <c r="C7" s="168" t="s">
        <v>11</v>
      </c>
      <c r="H7" s="168" t="s">
        <v>6</v>
      </c>
    </row>
    <row r="8" spans="1:10" x14ac:dyDescent="0.3">
      <c r="A8" s="168" t="s">
        <v>6</v>
      </c>
      <c r="B8" s="168" t="s">
        <v>6</v>
      </c>
      <c r="C8" s="168" t="s">
        <v>6</v>
      </c>
      <c r="H8" s="168" t="s">
        <v>7</v>
      </c>
    </row>
    <row r="9" spans="1:10" x14ac:dyDescent="0.3">
      <c r="A9" s="168" t="s">
        <v>7</v>
      </c>
      <c r="B9" s="168" t="s">
        <v>7</v>
      </c>
      <c r="C9" s="168" t="s">
        <v>7</v>
      </c>
      <c r="F9" s="168" t="s">
        <v>37</v>
      </c>
      <c r="G9" s="167" t="s">
        <v>42</v>
      </c>
      <c r="H9" s="168" t="s">
        <v>1</v>
      </c>
    </row>
    <row r="10" spans="1:10" x14ac:dyDescent="0.3">
      <c r="A10" s="168" t="s">
        <v>1</v>
      </c>
      <c r="B10" s="168" t="s">
        <v>1</v>
      </c>
      <c r="C10" s="168" t="s">
        <v>1</v>
      </c>
      <c r="F10" s="167" t="s">
        <v>36</v>
      </c>
      <c r="G10" s="167" t="s">
        <v>43</v>
      </c>
      <c r="H10" s="168" t="s">
        <v>9</v>
      </c>
    </row>
    <row r="11" spans="1:10" x14ac:dyDescent="0.3">
      <c r="A11" s="168" t="s">
        <v>13</v>
      </c>
      <c r="B11" s="168" t="s">
        <v>74</v>
      </c>
      <c r="C11" s="168" t="s">
        <v>13</v>
      </c>
      <c r="F11" s="167" t="s">
        <v>41</v>
      </c>
      <c r="G11" s="167" t="s">
        <v>44</v>
      </c>
      <c r="H11" s="168" t="s">
        <v>10</v>
      </c>
    </row>
    <row r="12" spans="1:10" x14ac:dyDescent="0.3">
      <c r="A12" s="168" t="s">
        <v>9</v>
      </c>
      <c r="B12" s="168" t="s">
        <v>9</v>
      </c>
      <c r="C12" s="168" t="s">
        <v>8</v>
      </c>
      <c r="F12" s="168" t="s">
        <v>40</v>
      </c>
      <c r="G12" s="167" t="s">
        <v>45</v>
      </c>
      <c r="H12" s="168" t="s">
        <v>12</v>
      </c>
    </row>
    <row r="13" spans="1:10" x14ac:dyDescent="0.3">
      <c r="A13" s="168" t="s">
        <v>10</v>
      </c>
      <c r="B13" s="168" t="s">
        <v>13</v>
      </c>
      <c r="C13" s="168"/>
      <c r="H13" s="168" t="s">
        <v>47</v>
      </c>
    </row>
    <row r="14" spans="1:10" x14ac:dyDescent="0.3">
      <c r="A14" s="168" t="s">
        <v>12</v>
      </c>
      <c r="B14" s="168" t="s">
        <v>12</v>
      </c>
      <c r="C14" s="168"/>
      <c r="H14" s="168" t="s">
        <v>8</v>
      </c>
    </row>
    <row r="15" spans="1:10" x14ac:dyDescent="0.3">
      <c r="A15" s="168" t="s">
        <v>47</v>
      </c>
      <c r="B15" s="168" t="s">
        <v>10</v>
      </c>
      <c r="C15" s="168"/>
    </row>
    <row r="16" spans="1:10" x14ac:dyDescent="0.3">
      <c r="A16" s="168" t="s">
        <v>8</v>
      </c>
      <c r="B16" s="168" t="s">
        <v>8</v>
      </c>
      <c r="C16" s="168"/>
    </row>
    <row r="17" spans="1:6" x14ac:dyDescent="0.3">
      <c r="C17" s="168" t="s">
        <v>46</v>
      </c>
      <c r="F17" s="168" t="s">
        <v>46</v>
      </c>
    </row>
    <row r="18" spans="1:6" x14ac:dyDescent="0.3">
      <c r="C18" s="168" t="s">
        <v>2</v>
      </c>
      <c r="F18" s="168" t="s">
        <v>2</v>
      </c>
    </row>
    <row r="19" spans="1:6" x14ac:dyDescent="0.3">
      <c r="C19" s="168" t="s">
        <v>3</v>
      </c>
      <c r="F19" s="168" t="s">
        <v>3</v>
      </c>
    </row>
    <row r="20" spans="1:6" x14ac:dyDescent="0.3">
      <c r="C20" s="168" t="s">
        <v>4</v>
      </c>
      <c r="F20" s="168" t="s">
        <v>5</v>
      </c>
    </row>
    <row r="21" spans="1:6" x14ac:dyDescent="0.3">
      <c r="A21" s="168" t="s">
        <v>21</v>
      </c>
      <c r="B21" s="168"/>
      <c r="C21" s="168" t="s">
        <v>5</v>
      </c>
      <c r="F21" s="168" t="s">
        <v>7</v>
      </c>
    </row>
    <row r="22" spans="1:6" x14ac:dyDescent="0.3">
      <c r="A22" s="168" t="s">
        <v>22</v>
      </c>
      <c r="B22" s="168"/>
      <c r="C22" s="168" t="s">
        <v>7</v>
      </c>
      <c r="F22" s="168" t="s">
        <v>1</v>
      </c>
    </row>
    <row r="23" spans="1:6" x14ac:dyDescent="0.3">
      <c r="C23" s="168" t="s">
        <v>1</v>
      </c>
      <c r="F23" s="168" t="s">
        <v>13</v>
      </c>
    </row>
    <row r="24" spans="1:6" x14ac:dyDescent="0.3">
      <c r="C24" s="168" t="s">
        <v>13</v>
      </c>
      <c r="F24" s="168"/>
    </row>
    <row r="28" spans="1:6" x14ac:dyDescent="0.3">
      <c r="C28" s="168"/>
    </row>
  </sheetData>
  <sheetProtection algorithmName="SHA-512" hashValue="M4qNZ53koGV8Pq7Tyd8+L9qrFxjrN3dwNW97+rRyZY1v2V2pgJilXUfhgJHc5dQnck3EreJs6bozotGCkX2HGg==" saltValue="QK5gzvm5oJ8RhuihNMoffQ=="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INSTRUKCJA</vt:lpstr>
      <vt:lpstr>Podstawa wymiaru 10 lat SM</vt:lpstr>
      <vt:lpstr>art. 18e SM</vt:lpstr>
      <vt:lpstr>art. 15 albo 15a SM</vt:lpstr>
      <vt:lpstr>art. 15aa SM</vt:lpstr>
      <vt:lpstr>Roboczy</vt:lpstr>
      <vt:lpstr>'art. 15 albo 15a SM'!Obszar_wydruku</vt:lpstr>
      <vt:lpstr>'art. 15aa SM'!Obszar_wydruku</vt:lpstr>
      <vt:lpstr>'art. 18e SM'!Obszar_wydruku</vt:lpstr>
      <vt:lpstr>INSTRUKCJA!Obszar_wydruku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2025-11-18T21:08:21Z</cp:lastPrinted>
  <dcterms:created xsi:type="dcterms:W3CDTF">2018-06-27T19:52:39Z</dcterms:created>
  <dcterms:modified xsi:type="dcterms:W3CDTF">2026-02-02T16:23:09Z</dcterms:modified>
</cp:coreProperties>
</file>