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F575530C-A3D2-40AA-8C95-315E581120DC}" xr6:coauthVersionLast="47" xr6:coauthVersionMax="47" xr10:uidLastSave="{00000000-0000-0000-0000-000000000000}"/>
  <bookViews>
    <workbookView xWindow="-120" yWindow="-120" windowWidth="29040" windowHeight="15720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/>
  <c r="A82" i="7"/>
  <c r="A27" i="7"/>
  <c r="A63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<sst xmlns="http://schemas.openxmlformats.org/spreadsheetml/2006/main" count="97" uniqueCount="81">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</sst>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71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3"/>
  <sheetViews>
    <sheetView tabSelected="1" zoomScaleNormal="100" zoomScaleSheetLayoutView="75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II Kwartały 2024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6700126754.97</f>
        <v>6700126754.9700003</v>
      </c>
      <c r="C13" s="21">
        <f>6700126754.97</f>
        <v>6700126754.9700003</v>
      </c>
      <c r="D13" s="21">
        <f>240424534.31</f>
        <v>240424534.31</v>
      </c>
      <c r="E13" s="21">
        <f>201384432.17</f>
        <v>201384432.16999999</v>
      </c>
      <c r="F13" s="21">
        <f>7658533.11</f>
        <v>7658533.1100000003</v>
      </c>
      <c r="G13" s="21">
        <f>31381569.03</f>
        <v>31381569.030000001</v>
      </c>
      <c r="H13" s="21">
        <f>0</f>
        <v>0</v>
      </c>
      <c r="I13" s="21">
        <f>0</f>
        <v>0</v>
      </c>
      <c r="J13" s="21">
        <f>6138877703.41</f>
        <v>6138877703.4099998</v>
      </c>
      <c r="K13" s="21">
        <f>315170902.84</f>
        <v>315170902.83999997</v>
      </c>
      <c r="L13" s="21">
        <f>3127416.91</f>
        <v>3127416.91</v>
      </c>
      <c r="M13" s="21">
        <f>206544.63</f>
        <v>206544.63</v>
      </c>
      <c r="N13" s="21">
        <f>2319652.87</f>
        <v>2319652.87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14000000</f>
        <v>14000000</v>
      </c>
      <c r="C14" s="21">
        <f>14000000</f>
        <v>14000000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14000000</f>
        <v>14000000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14000000</f>
        <v>14000000</v>
      </c>
      <c r="C16" s="22">
        <f>14000000</f>
        <v>14000000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14000000</f>
        <v>14000000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6679704555.03</f>
        <v>6679704555.0299997</v>
      </c>
      <c r="C17" s="21">
        <f>6679704555.03</f>
        <v>6679704555.0299997</v>
      </c>
      <c r="D17" s="21">
        <f>234852066.67</f>
        <v>234852066.66999999</v>
      </c>
      <c r="E17" s="21">
        <f>196953302.98</f>
        <v>196953302.97999999</v>
      </c>
      <c r="F17" s="21">
        <f>7658533.11</f>
        <v>7658533.1100000003</v>
      </c>
      <c r="G17" s="21">
        <f>30240230.58</f>
        <v>30240230.579999998</v>
      </c>
      <c r="H17" s="21">
        <f>0</f>
        <v>0</v>
      </c>
      <c r="I17" s="21">
        <f>0</f>
        <v>0</v>
      </c>
      <c r="J17" s="21">
        <f>6124877703.41</f>
        <v>6124877703.4099998</v>
      </c>
      <c r="K17" s="21">
        <f>315170902.84</f>
        <v>315170902.83999997</v>
      </c>
      <c r="L17" s="21">
        <f>2821703.31</f>
        <v>2821703.31</v>
      </c>
      <c r="M17" s="21">
        <f>0</f>
        <v>0</v>
      </c>
      <c r="N17" s="21">
        <f>1982178.8</f>
        <v>1982178.8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29821332.76</f>
        <v>29821332.760000002</v>
      </c>
      <c r="C18" s="22">
        <f>29821332.76</f>
        <v>29821332.760000002</v>
      </c>
      <c r="D18" s="22">
        <f>110592</f>
        <v>110592</v>
      </c>
      <c r="E18" s="22">
        <f>0</f>
        <v>0</v>
      </c>
      <c r="F18" s="22">
        <f>110592</f>
        <v>110592</v>
      </c>
      <c r="G18" s="22">
        <f>0</f>
        <v>0</v>
      </c>
      <c r="H18" s="22">
        <f>0</f>
        <v>0</v>
      </c>
      <c r="I18" s="22">
        <f>0</f>
        <v>0</v>
      </c>
      <c r="J18" s="22">
        <f>29636886.28</f>
        <v>29636886.280000001</v>
      </c>
      <c r="K18" s="22">
        <f>73854.48</f>
        <v>73854.48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6649883222.27</f>
        <v>6649883222.2700005</v>
      </c>
      <c r="C19" s="22">
        <f>6649883222.27</f>
        <v>6649883222.2700005</v>
      </c>
      <c r="D19" s="22">
        <f>234741474.67</f>
        <v>234741474.66999999</v>
      </c>
      <c r="E19" s="22">
        <f>196953302.98</f>
        <v>196953302.97999999</v>
      </c>
      <c r="F19" s="22">
        <f>7547941.11</f>
        <v>7547941.1100000003</v>
      </c>
      <c r="G19" s="22">
        <f>30240230.58</f>
        <v>30240230.579999998</v>
      </c>
      <c r="H19" s="22">
        <f>0</f>
        <v>0</v>
      </c>
      <c r="I19" s="22">
        <f>0</f>
        <v>0</v>
      </c>
      <c r="J19" s="22">
        <f>6095240817.13</f>
        <v>6095240817.1300001</v>
      </c>
      <c r="K19" s="22">
        <f>315097048.36</f>
        <v>315097048.36000001</v>
      </c>
      <c r="L19" s="22">
        <f>2821703.31</f>
        <v>2821703.31</v>
      </c>
      <c r="M19" s="22">
        <f>0</f>
        <v>0</v>
      </c>
      <c r="N19" s="22">
        <f>1982178.8</f>
        <v>1982178.8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6422199.94</f>
        <v>6422199.9400000004</v>
      </c>
      <c r="C21" s="21">
        <f>6422199.94</f>
        <v>6422199.9400000004</v>
      </c>
      <c r="D21" s="21">
        <f>5572467.64</f>
        <v>5572467.6399999997</v>
      </c>
      <c r="E21" s="21">
        <f>4431129.19</f>
        <v>4431129.1900000004</v>
      </c>
      <c r="F21" s="21">
        <f>0</f>
        <v>0</v>
      </c>
      <c r="G21" s="21">
        <f>1141338.45</f>
        <v>1141338.45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305713.6</f>
        <v>305713.59999999998</v>
      </c>
      <c r="M21" s="21">
        <f>206544.63</f>
        <v>206544.63</v>
      </c>
      <c r="N21" s="21">
        <f>337474.07</f>
        <v>337474.07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612089.99</f>
        <v>612089.99</v>
      </c>
      <c r="C22" s="22">
        <f>612089.99</f>
        <v>612089.99</v>
      </c>
      <c r="D22" s="22">
        <f>98</f>
        <v>98</v>
      </c>
      <c r="E22" s="22">
        <f>0</f>
        <v>0</v>
      </c>
      <c r="F22" s="22">
        <f>0</f>
        <v>0</v>
      </c>
      <c r="G22" s="22">
        <f>98</f>
        <v>98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220559</f>
        <v>220559</v>
      </c>
      <c r="M22" s="22">
        <f>69110.42</f>
        <v>69110.42</v>
      </c>
      <c r="N22" s="22">
        <f>322322.57</f>
        <v>322322.57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5810109.95</f>
        <v>5810109.9500000002</v>
      </c>
      <c r="C23" s="22">
        <f>5810109.95</f>
        <v>5810109.9500000002</v>
      </c>
      <c r="D23" s="22">
        <f>5572369.64</f>
        <v>5572369.6399999997</v>
      </c>
      <c r="E23" s="22">
        <f>4431129.19</f>
        <v>4431129.1900000004</v>
      </c>
      <c r="F23" s="22">
        <f>0</f>
        <v>0</v>
      </c>
      <c r="G23" s="22">
        <f>1141240.45</f>
        <v>1141240.45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85154.6</f>
        <v>85154.6</v>
      </c>
      <c r="M23" s="22">
        <f>137434.21</f>
        <v>137434.21</v>
      </c>
      <c r="N23" s="22">
        <f>15151.5</f>
        <v>15151.5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II Kwartały 2024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750000</f>
        <v>750000</v>
      </c>
      <c r="C38" s="23">
        <f>750000</f>
        <v>750000</v>
      </c>
      <c r="D38" s="23">
        <f>50000</f>
        <v>50000</v>
      </c>
      <c r="E38" s="23">
        <f>50000</f>
        <v>50000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700000</f>
        <v>700000</v>
      </c>
      <c r="M38" s="23">
        <f>0</f>
        <v>0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700000</f>
        <v>700000</v>
      </c>
      <c r="C39" s="24">
        <f>700000</f>
        <v>700000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700000</f>
        <v>700000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50000</f>
        <v>50000</v>
      </c>
      <c r="C40" s="24">
        <f>50000</f>
        <v>50000</v>
      </c>
      <c r="D40" s="24">
        <f>50000</f>
        <v>50000</v>
      </c>
      <c r="E40" s="24">
        <f>50000</f>
        <v>50000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211864999.1</f>
        <v>211864999.09999999</v>
      </c>
      <c r="C41" s="23">
        <f>211864999.1</f>
        <v>211864999.09999999</v>
      </c>
      <c r="D41" s="23">
        <f>149704478.59</f>
        <v>149704478.59</v>
      </c>
      <c r="E41" s="23">
        <f>33648.14</f>
        <v>33648.14</v>
      </c>
      <c r="F41" s="23">
        <f>2502470.4</f>
        <v>2502470.4</v>
      </c>
      <c r="G41" s="23">
        <f>147168360.05</f>
        <v>147168360.05000001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49395398.81</f>
        <v>49395398.810000002</v>
      </c>
      <c r="M41" s="23">
        <f>11881576.93</f>
        <v>11881576.93</v>
      </c>
      <c r="N41" s="23">
        <f>883544.77</f>
        <v>883544.77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49399579.34</f>
        <v>49399579.340000004</v>
      </c>
      <c r="C42" s="24">
        <f>49399579.34</f>
        <v>49399579.340000004</v>
      </c>
      <c r="D42" s="24">
        <f>35320258.98</f>
        <v>35320258.979999997</v>
      </c>
      <c r="E42" s="24">
        <f>0</f>
        <v>0</v>
      </c>
      <c r="F42" s="24">
        <f>2500000</f>
        <v>2500000</v>
      </c>
      <c r="G42" s="24">
        <f>32820258.98</f>
        <v>32820258.98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12709151.01</f>
        <v>12709151.01</v>
      </c>
      <c r="M42" s="24">
        <f>1370169.35</f>
        <v>1370169.35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162465419.76</f>
        <v>162465419.75999999</v>
      </c>
      <c r="C43" s="24">
        <f>162465419.76</f>
        <v>162465419.75999999</v>
      </c>
      <c r="D43" s="24">
        <f>114384219.61</f>
        <v>114384219.61</v>
      </c>
      <c r="E43" s="24">
        <f>33648.14</f>
        <v>33648.14</v>
      </c>
      <c r="F43" s="24">
        <f>2470.4</f>
        <v>2470.4</v>
      </c>
      <c r="G43" s="24">
        <f>114348101.07</f>
        <v>114348101.06999999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36686247.8</f>
        <v>36686247.799999997</v>
      </c>
      <c r="M43" s="24">
        <f>10511407.58</f>
        <v>10511407.58</v>
      </c>
      <c r="N43" s="24">
        <f>883544.77</f>
        <v>883544.77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8494916656.51</f>
        <v>8494916656.5100002</v>
      </c>
      <c r="C44" s="23">
        <f>8494916656.51</f>
        <v>8494916656.5100002</v>
      </c>
      <c r="D44" s="23">
        <f>2655048.19</f>
        <v>2655048.19</v>
      </c>
      <c r="E44" s="23">
        <f>23085.26</f>
        <v>23085.26</v>
      </c>
      <c r="F44" s="23">
        <f>2903</f>
        <v>2903</v>
      </c>
      <c r="G44" s="23">
        <f>2629059.93</f>
        <v>2629059.9300000002</v>
      </c>
      <c r="H44" s="23">
        <f>0</f>
        <v>0</v>
      </c>
      <c r="I44" s="23">
        <f>6205049.84</f>
        <v>6205049.8399999999</v>
      </c>
      <c r="J44" s="23">
        <f>8485661081.16</f>
        <v>8485661081.1599998</v>
      </c>
      <c r="K44" s="23">
        <f>245831.48</f>
        <v>245831.48</v>
      </c>
      <c r="L44" s="23">
        <f>53362.72</f>
        <v>53362.720000000001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2606401.53</f>
        <v>2606401.5299999998</v>
      </c>
      <c r="C45" s="24">
        <f>2606401.53</f>
        <v>2606401.5299999998</v>
      </c>
      <c r="D45" s="24">
        <f>2606401.53</f>
        <v>2606401.5299999998</v>
      </c>
      <c r="E45" s="24">
        <f>0</f>
        <v>0</v>
      </c>
      <c r="F45" s="24">
        <f>0</f>
        <v>0</v>
      </c>
      <c r="G45" s="24">
        <f>2606401.53</f>
        <v>2606401.5299999998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7112177497.94</f>
        <v>7112177497.9399996</v>
      </c>
      <c r="C46" s="24">
        <f>7112177497.94</f>
        <v>7112177497.9399996</v>
      </c>
      <c r="D46" s="24">
        <f>22730.26</f>
        <v>22730.26</v>
      </c>
      <c r="E46" s="24">
        <f>1246.73</f>
        <v>1246.73</v>
      </c>
      <c r="F46" s="24">
        <f>263</f>
        <v>263</v>
      </c>
      <c r="G46" s="24">
        <f>21220.53</f>
        <v>21220.53</v>
      </c>
      <c r="H46" s="24">
        <f>0</f>
        <v>0</v>
      </c>
      <c r="I46" s="24">
        <f>6205049.84</f>
        <v>6205049.8399999999</v>
      </c>
      <c r="J46" s="24">
        <f>7105596906.14</f>
        <v>7105596906.1400003</v>
      </c>
      <c r="K46" s="24">
        <f>237911.48</f>
        <v>237911.48</v>
      </c>
      <c r="L46" s="24">
        <f>20617.1</f>
        <v>20617.099999999999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1380132757.04</f>
        <v>1380132757.04</v>
      </c>
      <c r="C47" s="24">
        <f>1380132757.04</f>
        <v>1380132757.04</v>
      </c>
      <c r="D47" s="24">
        <f>25916.4</f>
        <v>25916.400000000001</v>
      </c>
      <c r="E47" s="24">
        <f>21838.53</f>
        <v>21838.53</v>
      </c>
      <c r="F47" s="24">
        <f>2640</f>
        <v>2640</v>
      </c>
      <c r="G47" s="24">
        <f>1437.87</f>
        <v>1437.87</v>
      </c>
      <c r="H47" s="24">
        <f>0</f>
        <v>0</v>
      </c>
      <c r="I47" s="24">
        <f>0</f>
        <v>0</v>
      </c>
      <c r="J47" s="24">
        <f>1380064175.02</f>
        <v>1380064175.02</v>
      </c>
      <c r="K47" s="24">
        <f>7920</f>
        <v>7920</v>
      </c>
      <c r="L47" s="24">
        <f>32745.62</f>
        <v>32745.62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882630065.59</f>
        <v>882630065.59000003</v>
      </c>
      <c r="C48" s="23">
        <f>881637113.41</f>
        <v>881637113.40999997</v>
      </c>
      <c r="D48" s="23">
        <f>35102604.27</f>
        <v>35102604.270000003</v>
      </c>
      <c r="E48" s="23">
        <f>10374185.94</f>
        <v>10374185.939999999</v>
      </c>
      <c r="F48" s="23">
        <f>1169468.48</f>
        <v>1169468.48</v>
      </c>
      <c r="G48" s="23">
        <f>23545149.73</f>
        <v>23545149.73</v>
      </c>
      <c r="H48" s="23">
        <f>13800.12</f>
        <v>13800.12</v>
      </c>
      <c r="I48" s="23">
        <f>0</f>
        <v>0</v>
      </c>
      <c r="J48" s="23">
        <f>3893692.02</f>
        <v>3893692.02</v>
      </c>
      <c r="K48" s="23">
        <f>583837.48</f>
        <v>583837.48</v>
      </c>
      <c r="L48" s="23">
        <f>250262163.11</f>
        <v>250262163.11000001</v>
      </c>
      <c r="M48" s="23">
        <f>584894904.46</f>
        <v>584894904.46000004</v>
      </c>
      <c r="N48" s="23">
        <f>6899912.07</f>
        <v>6899912.0700000003</v>
      </c>
      <c r="O48" s="23">
        <f>992952.18</f>
        <v>992952.18</v>
      </c>
      <c r="P48" s="23">
        <f>411331.63</f>
        <v>411331.63</v>
      </c>
      <c r="Q48" s="23">
        <f>581620.55</f>
        <v>581620.55000000005</v>
      </c>
    </row>
    <row r="49" spans="1:17" ht="25.5" customHeight="1" x14ac:dyDescent="0.2">
      <c r="A49" s="18" t="s">
        <v>36</v>
      </c>
      <c r="B49" s="24">
        <f>151888393.42</f>
        <v>151888393.41999999</v>
      </c>
      <c r="C49" s="24">
        <f>151855589.68</f>
        <v>151855589.68000001</v>
      </c>
      <c r="D49" s="24">
        <f>3264826.05</f>
        <v>3264826.05</v>
      </c>
      <c r="E49" s="24">
        <f>45749.77</f>
        <v>45749.77</v>
      </c>
      <c r="F49" s="24">
        <f>324363.03</f>
        <v>324363.03000000003</v>
      </c>
      <c r="G49" s="24">
        <f>2888936.87</f>
        <v>2888936.87</v>
      </c>
      <c r="H49" s="24">
        <f>5776.38</f>
        <v>5776.38</v>
      </c>
      <c r="I49" s="24">
        <f>0</f>
        <v>0</v>
      </c>
      <c r="J49" s="24">
        <f>864663.29</f>
        <v>864663.29</v>
      </c>
      <c r="K49" s="24">
        <f>219378.51</f>
        <v>219378.51</v>
      </c>
      <c r="L49" s="24">
        <f>49376105.11</f>
        <v>49376105.109999999</v>
      </c>
      <c r="M49" s="24">
        <f>96919329.43</f>
        <v>96919329.430000007</v>
      </c>
      <c r="N49" s="24">
        <f>1211287.29</f>
        <v>1211287.29</v>
      </c>
      <c r="O49" s="24">
        <f>32803.74</f>
        <v>32803.74</v>
      </c>
      <c r="P49" s="24">
        <f>25945.74</f>
        <v>25945.74</v>
      </c>
      <c r="Q49" s="24">
        <f>6858</f>
        <v>6858</v>
      </c>
    </row>
    <row r="50" spans="1:17" ht="25.5" customHeight="1" x14ac:dyDescent="0.2">
      <c r="A50" s="18" t="s">
        <v>37</v>
      </c>
      <c r="B50" s="24">
        <f>730741672.17</f>
        <v>730741672.16999996</v>
      </c>
      <c r="C50" s="24">
        <f>729781523.73</f>
        <v>729781523.73000002</v>
      </c>
      <c r="D50" s="24">
        <f>31837778.22</f>
        <v>31837778.219999999</v>
      </c>
      <c r="E50" s="24">
        <f>10328436.17</f>
        <v>10328436.17</v>
      </c>
      <c r="F50" s="24">
        <f>845105.45</f>
        <v>845105.45</v>
      </c>
      <c r="G50" s="24">
        <f>20656212.86</f>
        <v>20656212.859999999</v>
      </c>
      <c r="H50" s="24">
        <f>8023.74</f>
        <v>8023.74</v>
      </c>
      <c r="I50" s="24">
        <f>0</f>
        <v>0</v>
      </c>
      <c r="J50" s="24">
        <f>3029028.73</f>
        <v>3029028.73</v>
      </c>
      <c r="K50" s="24">
        <f>364458.97</f>
        <v>364458.97</v>
      </c>
      <c r="L50" s="24">
        <f>200886058</f>
        <v>200886058</v>
      </c>
      <c r="M50" s="24">
        <f>487975575.03</f>
        <v>487975575.02999997</v>
      </c>
      <c r="N50" s="24">
        <f>5688624.78</f>
        <v>5688624.7800000003</v>
      </c>
      <c r="O50" s="24">
        <f>960148.44</f>
        <v>960148.44</v>
      </c>
      <c r="P50" s="24">
        <f>385385.89</f>
        <v>385385.89</v>
      </c>
      <c r="Q50" s="24">
        <f>574762.55</f>
        <v>574762.55000000005</v>
      </c>
    </row>
    <row r="51" spans="1:17" ht="30" customHeight="1" x14ac:dyDescent="0.2">
      <c r="A51" s="25" t="s">
        <v>44</v>
      </c>
      <c r="B51" s="23">
        <f>772020700.32</f>
        <v>772020700.32000005</v>
      </c>
      <c r="C51" s="23">
        <f>771928092.31</f>
        <v>771928092.30999994</v>
      </c>
      <c r="D51" s="23">
        <f>255315927.61</f>
        <v>255315927.61000001</v>
      </c>
      <c r="E51" s="23">
        <f>28136199.89</f>
        <v>28136199.890000001</v>
      </c>
      <c r="F51" s="23">
        <f>2013714.06</f>
        <v>2013714.06</v>
      </c>
      <c r="G51" s="23">
        <f>216377052.89</f>
        <v>216377052.88999999</v>
      </c>
      <c r="H51" s="23">
        <f>8788960.77</f>
        <v>8788960.7699999996</v>
      </c>
      <c r="I51" s="23">
        <f>0</f>
        <v>0</v>
      </c>
      <c r="J51" s="23">
        <f>340215.6</f>
        <v>340215.6</v>
      </c>
      <c r="K51" s="23">
        <f>1589660.67</f>
        <v>1589660.67</v>
      </c>
      <c r="L51" s="23">
        <f>426405744.22</f>
        <v>426405744.22000003</v>
      </c>
      <c r="M51" s="23">
        <f>84669202.32</f>
        <v>84669202.319999993</v>
      </c>
      <c r="N51" s="23">
        <f>3607341.89</f>
        <v>3607341.89</v>
      </c>
      <c r="O51" s="23">
        <f>92608.01</f>
        <v>92608.01</v>
      </c>
      <c r="P51" s="23">
        <f>52963.91</f>
        <v>52963.91</v>
      </c>
      <c r="Q51" s="23">
        <f>39644.1</f>
        <v>39644.1</v>
      </c>
    </row>
    <row r="52" spans="1:17" ht="31.5" customHeight="1" x14ac:dyDescent="0.2">
      <c r="A52" s="18" t="s">
        <v>38</v>
      </c>
      <c r="B52" s="24">
        <f>83776720.56</f>
        <v>83776720.560000002</v>
      </c>
      <c r="C52" s="24">
        <f>83741458.45</f>
        <v>83741458.450000003</v>
      </c>
      <c r="D52" s="24">
        <f>40993339.35</f>
        <v>40993339.350000001</v>
      </c>
      <c r="E52" s="24">
        <f>774964.7</f>
        <v>774964.7</v>
      </c>
      <c r="F52" s="24">
        <f>300050.34</f>
        <v>300050.34000000003</v>
      </c>
      <c r="G52" s="24">
        <f>36093338.27</f>
        <v>36093338.270000003</v>
      </c>
      <c r="H52" s="24">
        <f>3824986.04</f>
        <v>3824986.04</v>
      </c>
      <c r="I52" s="24">
        <f>0</f>
        <v>0</v>
      </c>
      <c r="J52" s="24">
        <f>136077.77</f>
        <v>136077.76999999999</v>
      </c>
      <c r="K52" s="24">
        <f>266537.57</f>
        <v>266537.57</v>
      </c>
      <c r="L52" s="24">
        <f>19433498.27</f>
        <v>19433498.27</v>
      </c>
      <c r="M52" s="24">
        <f>21447506.8</f>
        <v>21447506.800000001</v>
      </c>
      <c r="N52" s="24">
        <f>1464498.69</f>
        <v>1464498.69</v>
      </c>
      <c r="O52" s="24">
        <f>35262.11</f>
        <v>35262.11</v>
      </c>
      <c r="P52" s="24">
        <f>21817.11</f>
        <v>21817.11</v>
      </c>
      <c r="Q52" s="24">
        <f>13445</f>
        <v>13445</v>
      </c>
    </row>
    <row r="53" spans="1:17" ht="35.25" customHeight="1" x14ac:dyDescent="0.2">
      <c r="A53" s="18" t="s">
        <v>80</v>
      </c>
      <c r="B53" s="24">
        <f>1185299.46</f>
        <v>1185299.46</v>
      </c>
      <c r="C53" s="24">
        <f>1185299.46</f>
        <v>1185299.46</v>
      </c>
      <c r="D53" s="24">
        <f>877549.66</f>
        <v>877549.66</v>
      </c>
      <c r="E53" s="24">
        <f>419319.55</f>
        <v>419319.55</v>
      </c>
      <c r="F53" s="24">
        <f>47</f>
        <v>47</v>
      </c>
      <c r="G53" s="24">
        <f>378462.22</f>
        <v>378462.22</v>
      </c>
      <c r="H53" s="24">
        <f>79720.89</f>
        <v>79720.89</v>
      </c>
      <c r="I53" s="24">
        <f>0</f>
        <v>0</v>
      </c>
      <c r="J53" s="24">
        <f>0</f>
        <v>0</v>
      </c>
      <c r="K53" s="24">
        <f>17173.44</f>
        <v>17173.439999999999</v>
      </c>
      <c r="L53" s="24">
        <f>2160.36</f>
        <v>2160.36</v>
      </c>
      <c r="M53" s="24">
        <f>288007.4</f>
        <v>288007.40000000002</v>
      </c>
      <c r="N53" s="24">
        <f>408.6</f>
        <v>408.6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687058680.3</f>
        <v>687058680.29999995</v>
      </c>
      <c r="C54" s="24">
        <f>687001334.4</f>
        <v>687001334.39999998</v>
      </c>
      <c r="D54" s="24">
        <f>213445038.6</f>
        <v>213445038.59999999</v>
      </c>
      <c r="E54" s="24">
        <f>26941915.64</f>
        <v>26941915.640000001</v>
      </c>
      <c r="F54" s="24">
        <f>1713616.72</f>
        <v>1713616.72</v>
      </c>
      <c r="G54" s="24">
        <f>179905252.4</f>
        <v>179905252.40000001</v>
      </c>
      <c r="H54" s="24">
        <f>4884253.84</f>
        <v>4884253.84</v>
      </c>
      <c r="I54" s="24">
        <f>0</f>
        <v>0</v>
      </c>
      <c r="J54" s="24">
        <f>204137.83</f>
        <v>204137.83</v>
      </c>
      <c r="K54" s="24">
        <f>1305949.66</f>
        <v>1305949.6599999999</v>
      </c>
      <c r="L54" s="24">
        <f>406970085.59</f>
        <v>406970085.58999997</v>
      </c>
      <c r="M54" s="24">
        <f>62933688.12</f>
        <v>62933688.119999997</v>
      </c>
      <c r="N54" s="24">
        <f>2142434.6</f>
        <v>2142434.6</v>
      </c>
      <c r="O54" s="24">
        <f>57345.9</f>
        <v>57345.9</v>
      </c>
      <c r="P54" s="24">
        <f>31146.8</f>
        <v>31146.799999999999</v>
      </c>
      <c r="Q54" s="24">
        <f>26199.1</f>
        <v>26199.1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II Kwartały 2024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498154790.71</f>
        <v>498154790.70999998</v>
      </c>
      <c r="G73" s="26">
        <f>240445628.14</f>
        <v>240445628.13999999</v>
      </c>
      <c r="H73" s="26">
        <f>33785350.89</f>
        <v>33785350.890000001</v>
      </c>
      <c r="I73" s="26">
        <f>9997910.2</f>
        <v>9997910.1999999993</v>
      </c>
      <c r="J73" s="26">
        <f>189428041.25</f>
        <v>189428041.25</v>
      </c>
      <c r="K73" s="26">
        <f>7234325.8</f>
        <v>7234325.7999999998</v>
      </c>
      <c r="L73" s="26">
        <f>257709162.57</f>
        <v>257709162.56999999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640000</f>
        <v>640000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640000</f>
        <v>640000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23727721.27</f>
        <v>23727721.27</v>
      </c>
      <c r="G75" s="26">
        <f>9028304.32</f>
        <v>9028304.3200000003</v>
      </c>
      <c r="H75" s="26">
        <f>0</f>
        <v>0</v>
      </c>
      <c r="I75" s="26">
        <f>0</f>
        <v>0</v>
      </c>
      <c r="J75" s="26">
        <f>9028304.32</f>
        <v>9028304.3200000003</v>
      </c>
      <c r="K75" s="26">
        <f>0</f>
        <v>0</v>
      </c>
      <c r="L75" s="26">
        <f>14699416.95</f>
        <v>14699416.949999999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47543631.48</f>
        <v>47543631.479999997</v>
      </c>
      <c r="G76" s="26">
        <f>21281275.78</f>
        <v>21281275.780000001</v>
      </c>
      <c r="H76" s="26">
        <f>0</f>
        <v>0</v>
      </c>
      <c r="I76" s="26">
        <f>0</f>
        <v>0</v>
      </c>
      <c r="J76" s="26">
        <f>21281275.78</f>
        <v>21281275.780000001</v>
      </c>
      <c r="K76" s="26">
        <f>0</f>
        <v>0</v>
      </c>
      <c r="L76" s="26">
        <f>26262355.7</f>
        <v>26262355.699999999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11964943.41</f>
        <v>11964943.41</v>
      </c>
      <c r="G77" s="26">
        <f>11964943.41</f>
        <v>11964943.41</v>
      </c>
      <c r="H77" s="26">
        <f>0</f>
        <v>0</v>
      </c>
      <c r="I77" s="26">
        <f>0</f>
        <v>0</v>
      </c>
      <c r="J77" s="26">
        <f>11964943.41</f>
        <v>11964943.41</v>
      </c>
      <c r="K77" s="26">
        <f>0</f>
        <v>0</v>
      </c>
      <c r="L77" s="26">
        <f>0</f>
        <v>0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1174375</f>
        <v>1174375</v>
      </c>
      <c r="G78" s="26">
        <f>174375</f>
        <v>174375</v>
      </c>
      <c r="H78" s="26">
        <f>0</f>
        <v>0</v>
      </c>
      <c r="I78" s="26">
        <f>0</f>
        <v>0</v>
      </c>
      <c r="J78" s="26">
        <f>174375</f>
        <v>174375</v>
      </c>
      <c r="K78" s="26">
        <f>0</f>
        <v>0</v>
      </c>
      <c r="L78" s="26">
        <f>1000000</f>
        <v>1000000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II Kwartały 2024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295</f>
        <v>295</v>
      </c>
      <c r="H85" s="63"/>
      <c r="I85" s="64">
        <f>3292349121.35</f>
        <v>3292349121.3499999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19</f>
        <v>19</v>
      </c>
      <c r="H86" s="73"/>
      <c r="I86" s="74">
        <f>-59111512</f>
        <v>-59111512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2</f>
        <v>2</v>
      </c>
      <c r="C90" s="8" t="str">
        <f>IF(B90=1,"I Kwartał",IF(B90=2,"II Kwartały",IF(B90=3,"III Kwartały",IF(B90=4,"IV Kwartały","-"))))</f>
        <v>II Kwartały</v>
      </c>
    </row>
    <row r="91" spans="1:13" ht="13.5" customHeight="1" x14ac:dyDescent="0.2">
      <c r="A91" s="8" t="s">
        <v>9</v>
      </c>
      <c r="B91" s="8">
        <f>2024</f>
        <v>2024</v>
      </c>
      <c r="C91" s="9"/>
    </row>
    <row r="92" spans="1:13" ht="13.5" customHeight="1" x14ac:dyDescent="0.2">
      <c r="A92" s="8" t="s">
        <v>10</v>
      </c>
      <c r="B92" s="10" t="str">
        <f>"Aug 14 2024 12:00AM"</f>
        <v>Aug 14 2024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C6:N6"/>
    <mergeCell ref="D7:D10"/>
    <mergeCell ref="E7:E10"/>
    <mergeCell ref="B77:E77"/>
    <mergeCell ref="B74:E74"/>
    <mergeCell ref="M32:M35"/>
    <mergeCell ref="B73:E73"/>
    <mergeCell ref="F66:F70"/>
    <mergeCell ref="G67:G70"/>
    <mergeCell ref="G66:L66"/>
    <mergeCell ref="F7:F10"/>
    <mergeCell ref="I7:I10"/>
    <mergeCell ref="J7:J10"/>
    <mergeCell ref="A1:M1"/>
    <mergeCell ref="C5:M5"/>
    <mergeCell ref="A3:M3"/>
    <mergeCell ref="K7:K10"/>
    <mergeCell ref="C7:C10"/>
    <mergeCell ref="B6:B10"/>
    <mergeCell ref="A6:A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J32:J35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2024-08-26T09:35:37Z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2024-08-26T11:35:29.2049583+02:00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GRN-019136c0-2de1-4bb5-98e3-8f43c42c8ccf</vt:lpwstr>
  </property>
  <property fmtid="{D5CDD505-2E9C-101B-9397-08002B2CF9AE}" pid="7" name="MFHash">
    <vt:lpwstr>zmoXNHHQAH/nS/RydZtWogbOl7KOFiuhWNt3uQifkyU=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