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zob_nal" sheetId="1" r:id="rId1"/>
  </sheets>
  <definedNames/>
  <calcPr fullCalcOnLoad="1"/>
</workbook>
</file>

<file path=xl/sharedStrings.xml><?xml version="1.0" encoding="utf-8"?>
<sst xmlns="http://schemas.openxmlformats.org/spreadsheetml/2006/main" count="98" uniqueCount="79">
  <si>
    <t>Wyszczególnienie</t>
  </si>
  <si>
    <t>sektora finansów publicznych (kol.5+7+8)</t>
  </si>
  <si>
    <t>banku centralnego</t>
  </si>
  <si>
    <t>Poręczenia i gwarancje</t>
  </si>
  <si>
    <t>Liczba jednostek</t>
  </si>
  <si>
    <t>Wykonanie</t>
  </si>
  <si>
    <t>JST, których budżety zamknęły się nadwyżką</t>
  </si>
  <si>
    <t>JST, których budżety zamknęły się deficytem</t>
  </si>
  <si>
    <t>JST z budżetami zrównoważonymi</t>
  </si>
  <si>
    <t>A. Należności oraz wybrane aktywa finansowe</t>
  </si>
  <si>
    <t>kwota 
należności
ogółem
(kol. 3+15)</t>
  </si>
  <si>
    <t>ogółem 
(kol 4+9+10+11 +12+13+14)</t>
  </si>
  <si>
    <t>dłużnicy  krajowi</t>
  </si>
  <si>
    <t>sektor 
finansów 
publicznych 
ogółem 
(kol 5+6+7+8)</t>
  </si>
  <si>
    <t>banki</t>
  </si>
  <si>
    <t>pozostałe 
krajowe 
instytucje 
finansowe</t>
  </si>
  <si>
    <t>przedsiębiorstwa 
niefinansowe</t>
  </si>
  <si>
    <t>gospodarstwa 
domowe</t>
  </si>
  <si>
    <t>instytucje 
niekomercyjne 
działające
 na rzecz
gospodarstw
domowych</t>
  </si>
  <si>
    <t>ogółem
(kol. 16+17)</t>
  </si>
  <si>
    <t>podmioty 
należące 
do strefy 
euro</t>
  </si>
  <si>
    <t>pozostałe 
podmioty 
zagraniczne</t>
  </si>
  <si>
    <t xml:space="preserve">      dłużnicy zagraniczni</t>
  </si>
  <si>
    <t xml:space="preserve">grupa I </t>
  </si>
  <si>
    <t xml:space="preserve">grupa II </t>
  </si>
  <si>
    <t>grupa III</t>
  </si>
  <si>
    <t>grupa IV</t>
  </si>
  <si>
    <t>N. NALEŻNOŚCI ORAZ WYBRANE AKTYWA FINANSOWE  (N1+N2+N3+N4+N5)   z tego:</t>
  </si>
  <si>
    <t>N1.1 krótkotermionowe</t>
  </si>
  <si>
    <t>N1.2  długoterminowe</t>
  </si>
  <si>
    <t>N2.1 krótkotermionowe</t>
  </si>
  <si>
    <t>N2.2 długoterminowe</t>
  </si>
  <si>
    <t>N3.1 gotówka</t>
  </si>
  <si>
    <t>N3.2 depozyty na żądanie</t>
  </si>
  <si>
    <t>N3.3 depozyty terminowe</t>
  </si>
  <si>
    <t>N4.1 z tytułu dostaw towarów i usług</t>
  </si>
  <si>
    <t>N4.2 pozostałe</t>
  </si>
  <si>
    <t>N5.1 z tytułu dostaw towarów i usług</t>
  </si>
  <si>
    <t>N5.2 z tytułu podatków i składek na 
ubezpieczenia społ.</t>
  </si>
  <si>
    <t>N5.3 z tytułu innych niż wymienione powyżej</t>
  </si>
  <si>
    <t>N1 papiery wartościowe (N1.1+N1.2)</t>
  </si>
  <si>
    <t>N2  pożyczki (N2.1+N2.2)</t>
  </si>
  <si>
    <t>N3 gotówka i depozyty (N3.1+N3.2+N3.3)</t>
  </si>
  <si>
    <t>N4 należności wymagalne (N4.1+N4.2)</t>
  </si>
  <si>
    <t>N5 pozostałe należności  (N5.1+N5.2+N5.3)</t>
  </si>
  <si>
    <t>E  ZOBOWIĄZANIA WG TYTUŁÓW 
    DŁUŻNYCH (E1+E2+E3+E4)</t>
  </si>
  <si>
    <t>E1 papiery wartościowe 
     (E1.1+E1.2)</t>
  </si>
  <si>
    <t>E1.1 krótkotermionowe</t>
  </si>
  <si>
    <t>E1.2 długoterminowe</t>
  </si>
  <si>
    <t>E2 kredyty i pożyczki 
     (E2.1+E2.2)</t>
  </si>
  <si>
    <t>E2.1 krótkotermionowe</t>
  </si>
  <si>
    <t>E2.2 długoterminowe</t>
  </si>
  <si>
    <t>E3 przyjęte depozyty</t>
  </si>
  <si>
    <t>E4.1 z tytułu dostaw towarów i usług</t>
  </si>
  <si>
    <t>E4.2 pozostałe</t>
  </si>
  <si>
    <t>F1 wartość nominalna niewymagalnych zobowiązań z tytułu udzielonych poręczeń i gwarancji na koniec okresu sprawozdawczego</t>
  </si>
  <si>
    <t>F2 wartość nominalna wymagalnych zobowiązań z tytułu udzielonych poręczeń i gwarancji na koniec okresu sprawozdawczego</t>
  </si>
  <si>
    <t>F3 wartość poręczeń i gwarancji udzielonych w okresie sprawozdawczym</t>
  </si>
  <si>
    <t>B1 należność główna z tytułu udzielonych gwarancji i poręczeń</t>
  </si>
  <si>
    <t>B2 odsetki ustawowe od nalezności głównej z tytułu udzielonych gwarancji i poręczeń</t>
  </si>
  <si>
    <t>B3 wartość spłat dokonanych w okresie sprawozdawczym za dłużników z tytułu udzielonych poręczeń i gwarancji (wydatki)</t>
  </si>
  <si>
    <t>B4 kwota odzyskanych wierzytelności w okresie sprawozdawczym od dłużników z tytułu poręczeń lub gwarancji (dochody)</t>
  </si>
  <si>
    <t>Zobowiązania według tytułów dłużnych (wg wartości nominalnej)</t>
  </si>
  <si>
    <t>kwota 
zadłużenia
ogółem
(kol. 3+15)</t>
  </si>
  <si>
    <t>ogółem 
(kol. 4+9+10+11 +12+13+14)</t>
  </si>
  <si>
    <t>bank 
centralny</t>
  </si>
  <si>
    <t xml:space="preserve">      wierzyciele zagraniczni</t>
  </si>
  <si>
    <t>wierzyciele krajowi</t>
  </si>
  <si>
    <t>grupa I</t>
  </si>
  <si>
    <t>grupa II</t>
  </si>
  <si>
    <t>wierzyciele</t>
  </si>
  <si>
    <t>kwota 
zadłużenia
ogółem
(kol. 3+8)</t>
  </si>
  <si>
    <t>podmioty 
sektora finansów 
publicznych 
(kol.4+5+6+7)</t>
  </si>
  <si>
    <t xml:space="preserve">grupa III </t>
  </si>
  <si>
    <t xml:space="preserve">grupa IV </t>
  </si>
  <si>
    <t>pozostałe
podmioty</t>
  </si>
  <si>
    <t>w złotych</t>
  </si>
  <si>
    <t>E4  wymagalne zobowiązania (E4.1+E4.2)</t>
  </si>
  <si>
    <t xml:space="preserve">Informacja z wykonania budżetów miast na prawach powiatu za  III Kwartały 2020 roku     </t>
  </si>
</sst>
</file>

<file path=xl/styles.xml><?xml version="1.0" encoding="utf-8"?>
<styleSheet xmlns="http://schemas.openxmlformats.org/spreadsheetml/2006/main">
  <numFmts count="14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#,##0.000"/>
    <numFmt numFmtId="167" formatCode="#,##0.0000"/>
    <numFmt numFmtId="168" formatCode="0.000"/>
    <numFmt numFmtId="169" formatCode="dd/mm/yy\ h:mm;@"/>
  </numFmts>
  <fonts count="48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8"/>
      <name val="Arial"/>
      <family val="2"/>
    </font>
    <font>
      <sz val="16"/>
      <name val="Arial"/>
      <family val="2"/>
    </font>
    <font>
      <sz val="10"/>
      <name val="Arial"/>
      <family val="0"/>
    </font>
    <font>
      <sz val="11"/>
      <name val="Arial"/>
      <family val="2"/>
    </font>
    <font>
      <sz val="7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 CE"/>
      <family val="2"/>
    </font>
    <font>
      <sz val="6"/>
      <name val="Arial"/>
      <family val="2"/>
    </font>
    <font>
      <b/>
      <sz val="7"/>
      <name val="Arial"/>
      <family val="2"/>
    </font>
    <font>
      <b/>
      <sz val="8"/>
      <name val="Arial CE"/>
      <family val="0"/>
    </font>
    <font>
      <sz val="14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b/>
      <sz val="18"/>
      <color theme="3"/>
      <name val="Cambria"/>
      <family val="2"/>
    </font>
    <font>
      <sz val="11"/>
      <color rgb="FF9C0006"/>
      <name val="Calibri"/>
      <family val="2"/>
    </font>
  </fonts>
  <fills count="51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04997999966144562"/>
        <bgColor indexed="64"/>
      </patternFill>
    </fill>
  </fills>
  <borders count="3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10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2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9" fillId="13" borderId="0" applyNumberFormat="0" applyBorder="0" applyAlignment="0" applyProtection="0"/>
    <xf numFmtId="0" fontId="9" fillId="3" borderId="0" applyNumberFormat="0" applyBorder="0" applyAlignment="0" applyProtection="0"/>
    <xf numFmtId="0" fontId="9" fillId="14" borderId="0" applyNumberFormat="0" applyBorder="0" applyAlignment="0" applyProtection="0"/>
    <xf numFmtId="0" fontId="9" fillId="13" borderId="0" applyNumberFormat="0" applyBorder="0" applyAlignment="0" applyProtection="0"/>
    <xf numFmtId="0" fontId="9" fillId="15" borderId="0" applyNumberFormat="0" applyBorder="0" applyAlignment="0" applyProtection="0"/>
    <xf numFmtId="0" fontId="9" fillId="6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3" borderId="0" applyNumberFormat="0" applyBorder="0" applyAlignment="0" applyProtection="0"/>
    <xf numFmtId="0" fontId="10" fillId="14" borderId="0" applyNumberFormat="0" applyBorder="0" applyAlignment="0" applyProtection="0"/>
    <xf numFmtId="0" fontId="10" fillId="13" borderId="0" applyNumberFormat="0" applyBorder="0" applyAlignment="0" applyProtection="0"/>
    <xf numFmtId="0" fontId="10" fillId="22" borderId="0" applyNumberFormat="0" applyBorder="0" applyAlignment="0" applyProtection="0"/>
    <xf numFmtId="0" fontId="10" fillId="6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2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10" fillId="22" borderId="0" applyNumberFormat="0" applyBorder="0" applyAlignment="0" applyProtection="0"/>
    <xf numFmtId="0" fontId="10" fillId="29" borderId="0" applyNumberFormat="0" applyBorder="0" applyAlignment="0" applyProtection="0"/>
    <xf numFmtId="0" fontId="10" fillId="30" borderId="0" applyNumberFormat="0" applyBorder="0" applyAlignment="0" applyProtection="0"/>
    <xf numFmtId="0" fontId="10" fillId="31" borderId="0" applyNumberFormat="0" applyBorder="0" applyAlignment="0" applyProtection="0"/>
    <xf numFmtId="0" fontId="10" fillId="22" borderId="0" applyNumberFormat="0" applyBorder="0" applyAlignment="0" applyProtection="0"/>
    <xf numFmtId="0" fontId="10" fillId="32" borderId="0" applyNumberFormat="0" applyBorder="0" applyAlignment="0" applyProtection="0"/>
    <xf numFmtId="0" fontId="32" fillId="33" borderId="0" applyNumberFormat="0" applyBorder="0" applyAlignment="0" applyProtection="0"/>
    <xf numFmtId="0" fontId="32" fillId="34" borderId="0" applyNumberFormat="0" applyBorder="0" applyAlignment="0" applyProtection="0"/>
    <xf numFmtId="0" fontId="32" fillId="35" borderId="0" applyNumberFormat="0" applyBorder="0" applyAlignment="0" applyProtection="0"/>
    <xf numFmtId="0" fontId="32" fillId="36" borderId="0" applyNumberFormat="0" applyBorder="0" applyAlignment="0" applyProtection="0"/>
    <xf numFmtId="0" fontId="32" fillId="37" borderId="0" applyNumberFormat="0" applyBorder="0" applyAlignment="0" applyProtection="0"/>
    <xf numFmtId="0" fontId="32" fillId="38" borderId="0" applyNumberFormat="0" applyBorder="0" applyAlignment="0" applyProtection="0"/>
    <xf numFmtId="0" fontId="11" fillId="39" borderId="0" applyNumberFormat="0" applyBorder="0" applyAlignment="0" applyProtection="0"/>
    <xf numFmtId="0" fontId="12" fillId="40" borderId="1" applyNumberFormat="0" applyAlignment="0" applyProtection="0"/>
    <xf numFmtId="0" fontId="13" fillId="41" borderId="2" applyNumberFormat="0" applyAlignment="0" applyProtection="0"/>
    <xf numFmtId="0" fontId="33" fillId="42" borderId="3" applyNumberFormat="0" applyAlignment="0" applyProtection="0"/>
    <xf numFmtId="0" fontId="34" fillId="43" borderId="4" applyNumberFormat="0" applyAlignment="0" applyProtection="0"/>
    <xf numFmtId="0" fontId="35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4" fillId="0" borderId="0" applyNumberFormat="0" applyFill="0" applyBorder="0" applyAlignment="0" applyProtection="0"/>
    <xf numFmtId="0" fontId="15" fillId="45" borderId="0" applyNumberFormat="0" applyBorder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9" fillId="6" borderId="1" applyNumberFormat="0" applyAlignment="0" applyProtection="0"/>
    <xf numFmtId="0" fontId="36" fillId="0" borderId="8" applyNumberFormat="0" applyFill="0" applyAlignment="0" applyProtection="0"/>
    <xf numFmtId="0" fontId="37" fillId="46" borderId="9" applyNumberFormat="0" applyAlignment="0" applyProtection="0"/>
    <xf numFmtId="0" fontId="20" fillId="0" borderId="10" applyNumberFormat="0" applyFill="0" applyAlignment="0" applyProtection="0"/>
    <xf numFmtId="0" fontId="38" fillId="0" borderId="11" applyNumberFormat="0" applyFill="0" applyAlignment="0" applyProtection="0"/>
    <xf numFmtId="0" fontId="39" fillId="0" borderId="12" applyNumberFormat="0" applyFill="0" applyAlignment="0" applyProtection="0"/>
    <xf numFmtId="0" fontId="40" fillId="0" borderId="13" applyNumberFormat="0" applyFill="0" applyAlignment="0" applyProtection="0"/>
    <xf numFmtId="0" fontId="40" fillId="0" borderId="0" applyNumberFormat="0" applyFill="0" applyBorder="0" applyAlignment="0" applyProtection="0"/>
    <xf numFmtId="0" fontId="21" fillId="14" borderId="0" applyNumberFormat="0" applyBorder="0" applyAlignment="0" applyProtection="0"/>
    <xf numFmtId="0" fontId="41" fillId="47" borderId="0" applyNumberFormat="0" applyBorder="0" applyAlignment="0" applyProtection="0"/>
    <xf numFmtId="0" fontId="5" fillId="0" borderId="0">
      <alignment/>
      <protection/>
    </xf>
    <xf numFmtId="0" fontId="0" fillId="4" borderId="14" applyNumberFormat="0" applyFont="0" applyAlignment="0" applyProtection="0"/>
    <xf numFmtId="0" fontId="42" fillId="43" borderId="3" applyNumberFormat="0" applyAlignment="0" applyProtection="0"/>
    <xf numFmtId="0" fontId="2" fillId="0" borderId="0" applyNumberFormat="0" applyFill="0" applyBorder="0" applyAlignment="0" applyProtection="0"/>
    <xf numFmtId="0" fontId="22" fillId="40" borderId="15" applyNumberFormat="0" applyAlignment="0" applyProtection="0"/>
    <xf numFmtId="9" fontId="0" fillId="0" borderId="0" applyFont="0" applyFill="0" applyBorder="0" applyAlignment="0" applyProtection="0"/>
    <xf numFmtId="0" fontId="43" fillId="0" borderId="16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7" applyNumberFormat="0" applyFill="0" applyAlignment="0" applyProtection="0"/>
    <xf numFmtId="0" fontId="46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47" fillId="49" borderId="0" applyNumberFormat="0" applyBorder="0" applyAlignment="0" applyProtection="0"/>
  </cellStyleXfs>
  <cellXfs count="79">
    <xf numFmtId="0" fontId="0" fillId="0" borderId="0" xfId="0" applyAlignment="1">
      <alignment/>
    </xf>
    <xf numFmtId="0" fontId="4" fillId="0" borderId="0" xfId="88" applyFont="1" applyAlignment="1">
      <alignment horizontal="center" vertical="center" wrapText="1"/>
      <protection/>
    </xf>
    <xf numFmtId="0" fontId="5" fillId="0" borderId="0" xfId="88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5" fillId="0" borderId="0" xfId="88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3" fillId="0" borderId="0" xfId="88" applyFont="1" applyFill="1" applyBorder="1" applyAlignment="1">
      <alignment horizontal="left" vertical="center" wrapText="1"/>
      <protection/>
    </xf>
    <xf numFmtId="0" fontId="3" fillId="0" borderId="0" xfId="88" applyFont="1" applyFill="1" applyBorder="1" applyAlignment="1">
      <alignment horizontal="center" vertical="center" wrapText="1"/>
      <protection/>
    </xf>
    <xf numFmtId="0" fontId="27" fillId="0" borderId="0" xfId="88" applyFont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5" fillId="2" borderId="19" xfId="88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28" fillId="0" borderId="19" xfId="88" applyFont="1" applyBorder="1" applyAlignment="1">
      <alignment horizontal="left" vertical="center" wrapText="1"/>
      <protection/>
    </xf>
    <xf numFmtId="4" fontId="7" fillId="0" borderId="19" xfId="88" applyNumberFormat="1" applyFont="1" applyBorder="1" applyAlignment="1">
      <alignment vertical="center" wrapText="1"/>
      <protection/>
    </xf>
    <xf numFmtId="0" fontId="7" fillId="0" borderId="0" xfId="0" applyFont="1" applyFill="1" applyBorder="1" applyAlignment="1">
      <alignment horizontal="left" indent="1"/>
    </xf>
    <xf numFmtId="4" fontId="7" fillId="0" borderId="0" xfId="88" applyNumberFormat="1" applyFont="1" applyBorder="1" applyAlignment="1">
      <alignment horizontal="right" vertical="center" wrapText="1"/>
      <protection/>
    </xf>
    <xf numFmtId="0" fontId="3" fillId="0" borderId="19" xfId="88" applyFont="1" applyBorder="1" applyAlignment="1">
      <alignment horizontal="left" vertical="center" wrapText="1"/>
      <protection/>
    </xf>
    <xf numFmtId="0" fontId="26" fillId="0" borderId="20" xfId="0" applyFont="1" applyFill="1" applyBorder="1" applyAlignment="1">
      <alignment vertical="center" wrapText="1"/>
    </xf>
    <xf numFmtId="0" fontId="8" fillId="40" borderId="19" xfId="88" applyFont="1" applyFill="1" applyBorder="1" applyAlignment="1">
      <alignment horizontal="left" vertical="center" wrapText="1"/>
      <protection/>
    </xf>
    <xf numFmtId="4" fontId="7" fillId="40" borderId="19" xfId="88" applyNumberFormat="1" applyFont="1" applyFill="1" applyBorder="1" applyAlignment="1">
      <alignment horizontal="right" vertical="center" wrapText="1"/>
      <protection/>
    </xf>
    <xf numFmtId="4" fontId="7" fillId="0" borderId="19" xfId="88" applyNumberFormat="1" applyFont="1" applyBorder="1" applyAlignment="1">
      <alignment horizontal="right" vertical="center" wrapText="1"/>
      <protection/>
    </xf>
    <xf numFmtId="4" fontId="7" fillId="40" borderId="19" xfId="88" applyNumberFormat="1" applyFont="1" applyFill="1" applyBorder="1" applyAlignment="1">
      <alignment vertical="center" wrapText="1"/>
      <protection/>
    </xf>
    <xf numFmtId="4" fontId="7" fillId="0" borderId="19" xfId="88" applyNumberFormat="1" applyFont="1" applyFill="1" applyBorder="1" applyAlignment="1">
      <alignment vertical="center" wrapText="1"/>
      <protection/>
    </xf>
    <xf numFmtId="0" fontId="29" fillId="50" borderId="20" xfId="0" applyFont="1" applyFill="1" applyBorder="1" applyAlignment="1">
      <alignment vertical="center" wrapText="1"/>
    </xf>
    <xf numFmtId="0" fontId="5" fillId="2" borderId="19" xfId="88" applyFill="1" applyBorder="1" applyAlignment="1">
      <alignment horizontal="center" vertical="center" wrapText="1"/>
      <protection/>
    </xf>
    <xf numFmtId="0" fontId="3" fillId="2" borderId="19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3" fillId="2" borderId="21" xfId="88" applyFont="1" applyFill="1" applyBorder="1" applyAlignment="1">
      <alignment horizontal="center" vertical="center" wrapText="1"/>
      <protection/>
    </xf>
    <xf numFmtId="0" fontId="3" fillId="2" borderId="22" xfId="88" applyFont="1" applyFill="1" applyBorder="1" applyAlignment="1">
      <alignment horizontal="center" vertical="center" wrapText="1"/>
      <protection/>
    </xf>
    <xf numFmtId="0" fontId="3" fillId="2" borderId="23" xfId="88" applyFont="1" applyFill="1" applyBorder="1" applyAlignment="1">
      <alignment horizontal="center" vertical="center" wrapText="1"/>
      <protection/>
    </xf>
    <xf numFmtId="0" fontId="5" fillId="2" borderId="19" xfId="88" applyNumberFormat="1" applyFont="1" applyFill="1" applyBorder="1" applyAlignment="1">
      <alignment horizontal="center" vertical="center" wrapText="1"/>
      <protection/>
    </xf>
    <xf numFmtId="0" fontId="7" fillId="2" borderId="21" xfId="88" applyFont="1" applyFill="1" applyBorder="1" applyAlignment="1">
      <alignment horizontal="center" vertical="center" wrapText="1"/>
      <protection/>
    </xf>
    <xf numFmtId="0" fontId="7" fillId="2" borderId="22" xfId="88" applyFont="1" applyFill="1" applyBorder="1" applyAlignment="1">
      <alignment horizontal="center" vertical="center" wrapText="1"/>
      <protection/>
    </xf>
    <xf numFmtId="0" fontId="7" fillId="2" borderId="23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30" fillId="0" borderId="0" xfId="88" applyFont="1" applyAlignment="1">
      <alignment horizontal="center" vertical="center" wrapText="1"/>
      <protection/>
    </xf>
    <xf numFmtId="0" fontId="7" fillId="2" borderId="24" xfId="88" applyFont="1" applyFill="1" applyBorder="1" applyAlignment="1">
      <alignment horizontal="center" vertical="center" wrapText="1"/>
      <protection/>
    </xf>
    <xf numFmtId="0" fontId="7" fillId="2" borderId="25" xfId="88" applyFont="1" applyFill="1" applyBorder="1" applyAlignment="1">
      <alignment horizontal="center" vertical="center" wrapText="1"/>
      <protection/>
    </xf>
    <xf numFmtId="0" fontId="7" fillId="2" borderId="26" xfId="88" applyFont="1" applyFill="1" applyBorder="1" applyAlignment="1">
      <alignment horizontal="center" vertical="center" wrapText="1"/>
      <protection/>
    </xf>
    <xf numFmtId="0" fontId="7" fillId="2" borderId="19" xfId="88" applyNumberFormat="1" applyFont="1" applyFill="1" applyBorder="1" applyAlignment="1">
      <alignment horizontal="center" vertical="center" wrapText="1"/>
      <protection/>
    </xf>
    <xf numFmtId="0" fontId="3" fillId="0" borderId="21" xfId="88" applyFont="1" applyBorder="1" applyAlignment="1">
      <alignment horizontal="left" vertical="center" wrapText="1"/>
      <protection/>
    </xf>
    <xf numFmtId="0" fontId="3" fillId="0" borderId="22" xfId="88" applyFont="1" applyBorder="1" applyAlignment="1">
      <alignment horizontal="left" vertical="center" wrapText="1"/>
      <protection/>
    </xf>
    <xf numFmtId="0" fontId="3" fillId="0" borderId="23" xfId="88" applyFont="1" applyBorder="1" applyAlignment="1">
      <alignment horizontal="left" vertical="center" wrapText="1"/>
      <protection/>
    </xf>
    <xf numFmtId="4" fontId="7" fillId="0" borderId="21" xfId="88" applyNumberFormat="1" applyFont="1" applyBorder="1" applyAlignment="1">
      <alignment horizontal="right" vertical="center" wrapText="1"/>
      <protection/>
    </xf>
    <xf numFmtId="4" fontId="7" fillId="0" borderId="23" xfId="88" applyNumberFormat="1" applyFont="1" applyBorder="1" applyAlignment="1">
      <alignment horizontal="right" vertical="center" wrapText="1"/>
      <protection/>
    </xf>
    <xf numFmtId="0" fontId="6" fillId="0" borderId="0" xfId="88" applyFont="1" applyAlignment="1">
      <alignment horizontal="left" vertical="center" wrapText="1"/>
      <protection/>
    </xf>
    <xf numFmtId="0" fontId="8" fillId="2" borderId="27" xfId="88" applyFont="1" applyFill="1" applyBorder="1" applyAlignment="1">
      <alignment horizontal="center" vertical="center" wrapText="1"/>
      <protection/>
    </xf>
    <xf numFmtId="0" fontId="8" fillId="2" borderId="28" xfId="88" applyFont="1" applyFill="1" applyBorder="1" applyAlignment="1">
      <alignment horizontal="center" vertical="center" wrapText="1"/>
      <protection/>
    </xf>
    <xf numFmtId="0" fontId="8" fillId="2" borderId="29" xfId="88" applyFont="1" applyFill="1" applyBorder="1" applyAlignment="1">
      <alignment horizontal="center" vertical="center" wrapText="1"/>
      <protection/>
    </xf>
    <xf numFmtId="0" fontId="8" fillId="2" borderId="30" xfId="88" applyFont="1" applyFill="1" applyBorder="1" applyAlignment="1">
      <alignment horizontal="center" vertical="center" wrapText="1"/>
      <protection/>
    </xf>
    <xf numFmtId="0" fontId="8" fillId="2" borderId="0" xfId="88" applyFont="1" applyFill="1" applyBorder="1" applyAlignment="1">
      <alignment horizontal="center" vertical="center" wrapText="1"/>
      <protection/>
    </xf>
    <xf numFmtId="0" fontId="8" fillId="2" borderId="31" xfId="88" applyFont="1" applyFill="1" applyBorder="1" applyAlignment="1">
      <alignment horizontal="center" vertical="center" wrapText="1"/>
      <protection/>
    </xf>
    <xf numFmtId="0" fontId="8" fillId="2" borderId="32" xfId="88" applyFont="1" applyFill="1" applyBorder="1" applyAlignment="1">
      <alignment horizontal="center" vertical="center" wrapText="1"/>
      <protection/>
    </xf>
    <xf numFmtId="0" fontId="8" fillId="2" borderId="33" xfId="88" applyFont="1" applyFill="1" applyBorder="1" applyAlignment="1">
      <alignment horizontal="center" vertical="center" wrapText="1"/>
      <protection/>
    </xf>
    <xf numFmtId="0" fontId="8" fillId="2" borderId="34" xfId="88" applyFont="1" applyFill="1" applyBorder="1" applyAlignment="1">
      <alignment horizontal="center" vertical="center" wrapText="1"/>
      <protection/>
    </xf>
    <xf numFmtId="0" fontId="3" fillId="40" borderId="21" xfId="88" applyFont="1" applyFill="1" applyBorder="1" applyAlignment="1">
      <alignment horizontal="left" vertical="center" wrapText="1"/>
      <protection/>
    </xf>
    <xf numFmtId="0" fontId="3" fillId="40" borderId="22" xfId="88" applyFont="1" applyFill="1" applyBorder="1" applyAlignment="1">
      <alignment horizontal="left" vertical="center" wrapText="1"/>
      <protection/>
    </xf>
    <xf numFmtId="0" fontId="3" fillId="40" borderId="23" xfId="88" applyFont="1" applyFill="1" applyBorder="1" applyAlignment="1">
      <alignment horizontal="left" vertical="center" wrapText="1"/>
      <protection/>
    </xf>
    <xf numFmtId="3" fontId="7" fillId="0" borderId="21" xfId="88" applyNumberFormat="1" applyFont="1" applyBorder="1" applyAlignment="1">
      <alignment horizontal="right" vertical="center" wrapText="1"/>
      <protection/>
    </xf>
    <xf numFmtId="3" fontId="7" fillId="0" borderId="23" xfId="88" applyNumberFormat="1" applyFont="1" applyBorder="1" applyAlignment="1">
      <alignment horizontal="right" vertical="center" wrapText="1"/>
      <protection/>
    </xf>
    <xf numFmtId="3" fontId="7" fillId="40" borderId="21" xfId="88" applyNumberFormat="1" applyFont="1" applyFill="1" applyBorder="1" applyAlignment="1">
      <alignment horizontal="right" vertical="center" wrapText="1"/>
      <protection/>
    </xf>
    <xf numFmtId="3" fontId="7" fillId="40" borderId="23" xfId="88" applyNumberFormat="1" applyFont="1" applyFill="1" applyBorder="1" applyAlignment="1">
      <alignment horizontal="right" vertical="center" wrapText="1"/>
      <protection/>
    </xf>
    <xf numFmtId="4" fontId="7" fillId="40" borderId="21" xfId="88" applyNumberFormat="1" applyFont="1" applyFill="1" applyBorder="1" applyAlignment="1">
      <alignment horizontal="right" vertical="center" wrapText="1"/>
      <protection/>
    </xf>
    <xf numFmtId="4" fontId="7" fillId="40" borderId="23" xfId="88" applyNumberFormat="1" applyFont="1" applyFill="1" applyBorder="1" applyAlignment="1">
      <alignment horizontal="right" vertical="center" wrapText="1"/>
      <protection/>
    </xf>
    <xf numFmtId="0" fontId="28" fillId="2" borderId="24" xfId="88" applyFont="1" applyFill="1" applyBorder="1" applyAlignment="1">
      <alignment horizontal="center" vertical="center" wrapText="1"/>
      <protection/>
    </xf>
    <xf numFmtId="0" fontId="28" fillId="2" borderId="25" xfId="88" applyFont="1" applyFill="1" applyBorder="1" applyAlignment="1">
      <alignment horizontal="center" vertical="center" wrapText="1"/>
      <protection/>
    </xf>
    <xf numFmtId="0" fontId="28" fillId="2" borderId="26" xfId="88" applyFont="1" applyFill="1" applyBorder="1" applyAlignment="1">
      <alignment horizontal="center" vertical="center" wrapText="1"/>
      <protection/>
    </xf>
    <xf numFmtId="0" fontId="3" fillId="2" borderId="27" xfId="88" applyFont="1" applyFill="1" applyBorder="1" applyAlignment="1">
      <alignment horizontal="center" vertical="center" wrapText="1"/>
      <protection/>
    </xf>
    <xf numFmtId="0" fontId="3" fillId="2" borderId="30" xfId="88" applyFont="1" applyFill="1" applyBorder="1" applyAlignment="1">
      <alignment horizontal="center" vertical="center" wrapText="1"/>
      <protection/>
    </xf>
    <xf numFmtId="0" fontId="3" fillId="2" borderId="32" xfId="88" applyFont="1" applyFill="1" applyBorder="1" applyAlignment="1">
      <alignment horizontal="center" vertical="center" wrapText="1"/>
      <protection/>
    </xf>
    <xf numFmtId="0" fontId="7" fillId="2" borderId="19" xfId="88" applyFont="1" applyFill="1" applyBorder="1" applyAlignment="1">
      <alignment horizontal="center" vertical="center" wrapText="1"/>
      <protection/>
    </xf>
    <xf numFmtId="0" fontId="7" fillId="2" borderId="30" xfId="88" applyFont="1" applyFill="1" applyBorder="1" applyAlignment="1">
      <alignment horizontal="center" vertical="center" wrapText="1"/>
      <protection/>
    </xf>
    <xf numFmtId="0" fontId="7" fillId="2" borderId="32" xfId="88" applyFont="1" applyFill="1" applyBorder="1" applyAlignment="1">
      <alignment horizontal="center" vertical="center" wrapText="1"/>
      <protection/>
    </xf>
    <xf numFmtId="0" fontId="27" fillId="0" borderId="0" xfId="88" applyFont="1" applyFill="1" applyBorder="1" applyAlignment="1">
      <alignment horizontal="center" vertical="center" wrapText="1"/>
      <protection/>
    </xf>
    <xf numFmtId="0" fontId="28" fillId="2" borderId="21" xfId="88" applyFont="1" applyFill="1" applyBorder="1" applyAlignment="1">
      <alignment horizontal="center" vertical="center" wrapText="1"/>
      <protection/>
    </xf>
    <xf numFmtId="0" fontId="28" fillId="2" borderId="22" xfId="88" applyFont="1" applyFill="1" applyBorder="1" applyAlignment="1">
      <alignment horizontal="center" vertical="center" wrapText="1"/>
      <protection/>
    </xf>
    <xf numFmtId="0" fontId="28" fillId="2" borderId="23" xfId="88" applyFont="1" applyFill="1" applyBorder="1" applyAlignment="1">
      <alignment horizontal="center" vertical="center" wrapText="1"/>
      <protection/>
    </xf>
  </cellXfs>
  <cellStyles count="91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Explanatory Text" xfId="71"/>
    <cellStyle name="Good" xfId="72"/>
    <cellStyle name="Heading 1" xfId="73"/>
    <cellStyle name="Heading 2" xfId="74"/>
    <cellStyle name="Heading 3" xfId="75"/>
    <cellStyle name="Heading 4" xfId="76"/>
    <cellStyle name="Hyperlink" xfId="77"/>
    <cellStyle name="Input" xfId="78"/>
    <cellStyle name="Komórka połączona" xfId="79"/>
    <cellStyle name="Komórka zaznaczona" xfId="80"/>
    <cellStyle name="Linked Cell" xfId="81"/>
    <cellStyle name="Nagłówek 1" xfId="82"/>
    <cellStyle name="Nagłówek 2" xfId="83"/>
    <cellStyle name="Nagłówek 3" xfId="84"/>
    <cellStyle name="Nagłówek 4" xfId="85"/>
    <cellStyle name="Neutral" xfId="86"/>
    <cellStyle name="Neutralny" xfId="87"/>
    <cellStyle name="Normalny_Zeszyt1" xfId="88"/>
    <cellStyle name="Note" xfId="89"/>
    <cellStyle name="Obliczenia" xfId="90"/>
    <cellStyle name="Followed Hyperlink" xfId="91"/>
    <cellStyle name="Output" xfId="92"/>
    <cellStyle name="Percent" xfId="93"/>
    <cellStyle name="Suma" xfId="94"/>
    <cellStyle name="Tekst objaśnienia" xfId="95"/>
    <cellStyle name="Tekst ostrzeżenia" xfId="96"/>
    <cellStyle name="Title" xfId="97"/>
    <cellStyle name="Total" xfId="98"/>
    <cellStyle name="Tytuł" xfId="99"/>
    <cellStyle name="Uwaga" xfId="100"/>
    <cellStyle name="Currency" xfId="101"/>
    <cellStyle name="Currency [0]" xfId="102"/>
    <cellStyle name="Warning Text" xfId="103"/>
    <cellStyle name="Zły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Q91"/>
  <sheetViews>
    <sheetView tabSelected="1" zoomScaleSheetLayoutView="50" workbookViewId="0" topLeftCell="A1">
      <selection activeCell="A13" sqref="A13"/>
    </sheetView>
  </sheetViews>
  <sheetFormatPr defaultColWidth="9.00390625" defaultRowHeight="13.5" customHeight="1"/>
  <cols>
    <col min="1" max="1" width="22.625" style="2" customWidth="1"/>
    <col min="2" max="3" width="13.75390625" style="2" customWidth="1"/>
    <col min="4" max="4" width="12.375" style="2" customWidth="1"/>
    <col min="5" max="6" width="11.375" style="2" customWidth="1"/>
    <col min="7" max="7" width="12.75390625" style="2" customWidth="1"/>
    <col min="8" max="8" width="9.75390625" style="2" customWidth="1"/>
    <col min="9" max="9" width="10.75390625" style="2" customWidth="1"/>
    <col min="10" max="10" width="14.00390625" style="2" customWidth="1"/>
    <col min="11" max="11" width="12.125" style="2" customWidth="1"/>
    <col min="12" max="12" width="11.375" style="2" customWidth="1"/>
    <col min="13" max="13" width="12.00390625" style="2" customWidth="1"/>
    <col min="14" max="14" width="11.75390625" style="2" customWidth="1"/>
    <col min="15" max="15" width="11.125" style="2" customWidth="1"/>
    <col min="16" max="16" width="12.625" style="2" customWidth="1"/>
    <col min="17" max="16384" width="9.125" style="2" customWidth="1"/>
  </cols>
  <sheetData>
    <row r="1" spans="1:13" ht="75" customHeight="1">
      <c r="A1" s="37" t="s">
        <v>78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</row>
    <row r="2" spans="1:13" ht="13.5" customHeight="1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</row>
    <row r="3" spans="1:13" ht="13.5" customHeight="1">
      <c r="A3" s="47" t="s">
        <v>62</v>
      </c>
      <c r="B3" s="47"/>
      <c r="C3" s="47"/>
      <c r="D3" s="47"/>
      <c r="E3" s="47"/>
      <c r="F3" s="47"/>
      <c r="G3" s="47"/>
      <c r="H3" s="47"/>
      <c r="I3" s="47"/>
      <c r="J3" s="47"/>
      <c r="K3" s="47"/>
      <c r="L3" s="47"/>
      <c r="M3" s="47"/>
    </row>
    <row r="5" spans="2:17" ht="13.5" customHeight="1">
      <c r="B5" s="9"/>
      <c r="C5" s="75"/>
      <c r="D5" s="75"/>
      <c r="E5" s="75"/>
      <c r="F5" s="75"/>
      <c r="G5" s="75"/>
      <c r="H5" s="75"/>
      <c r="I5" s="75"/>
      <c r="J5" s="75"/>
      <c r="K5" s="75"/>
      <c r="L5" s="75"/>
      <c r="M5" s="75"/>
      <c r="N5" s="8"/>
      <c r="O5" s="8"/>
      <c r="P5" s="8"/>
      <c r="Q5" s="8"/>
    </row>
    <row r="6" spans="1:17" ht="13.5" customHeight="1">
      <c r="A6" s="66" t="s">
        <v>0</v>
      </c>
      <c r="B6" s="38" t="s">
        <v>63</v>
      </c>
      <c r="C6" s="33" t="s">
        <v>67</v>
      </c>
      <c r="D6" s="34"/>
      <c r="E6" s="34"/>
      <c r="F6" s="34"/>
      <c r="G6" s="34"/>
      <c r="H6" s="34"/>
      <c r="I6" s="34"/>
      <c r="J6" s="34"/>
      <c r="K6" s="34"/>
      <c r="L6" s="34"/>
      <c r="M6" s="34"/>
      <c r="N6" s="35"/>
      <c r="O6" s="33" t="s">
        <v>66</v>
      </c>
      <c r="P6" s="34"/>
      <c r="Q6" s="35"/>
    </row>
    <row r="7" spans="1:17" ht="13.5" customHeight="1">
      <c r="A7" s="67"/>
      <c r="B7" s="39"/>
      <c r="C7" s="40" t="s">
        <v>64</v>
      </c>
      <c r="D7" s="40" t="s">
        <v>1</v>
      </c>
      <c r="E7" s="40" t="s">
        <v>68</v>
      </c>
      <c r="F7" s="40" t="s">
        <v>69</v>
      </c>
      <c r="G7" s="40" t="s">
        <v>25</v>
      </c>
      <c r="H7" s="40" t="s">
        <v>26</v>
      </c>
      <c r="I7" s="73" t="s">
        <v>65</v>
      </c>
      <c r="J7" s="40" t="s">
        <v>14</v>
      </c>
      <c r="K7" s="40" t="s">
        <v>15</v>
      </c>
      <c r="L7" s="40" t="s">
        <v>16</v>
      </c>
      <c r="M7" s="40" t="s">
        <v>17</v>
      </c>
      <c r="N7" s="39" t="s">
        <v>18</v>
      </c>
      <c r="O7" s="36" t="s">
        <v>19</v>
      </c>
      <c r="P7" s="36" t="s">
        <v>20</v>
      </c>
      <c r="Q7" s="36" t="s">
        <v>21</v>
      </c>
    </row>
    <row r="8" spans="1:17" ht="13.5" customHeight="1">
      <c r="A8" s="67"/>
      <c r="B8" s="39"/>
      <c r="C8" s="36"/>
      <c r="D8" s="36"/>
      <c r="E8" s="36"/>
      <c r="F8" s="36"/>
      <c r="G8" s="36"/>
      <c r="H8" s="36"/>
      <c r="I8" s="73"/>
      <c r="J8" s="36"/>
      <c r="K8" s="36"/>
      <c r="L8" s="36"/>
      <c r="M8" s="36"/>
      <c r="N8" s="39"/>
      <c r="O8" s="36"/>
      <c r="P8" s="36"/>
      <c r="Q8" s="36"/>
    </row>
    <row r="9" spans="1:17" ht="11.25" customHeight="1">
      <c r="A9" s="67"/>
      <c r="B9" s="39"/>
      <c r="C9" s="36"/>
      <c r="D9" s="36"/>
      <c r="E9" s="36"/>
      <c r="F9" s="36"/>
      <c r="G9" s="36"/>
      <c r="H9" s="36"/>
      <c r="I9" s="73"/>
      <c r="J9" s="36"/>
      <c r="K9" s="36"/>
      <c r="L9" s="36"/>
      <c r="M9" s="36"/>
      <c r="N9" s="39"/>
      <c r="O9" s="36"/>
      <c r="P9" s="36"/>
      <c r="Q9" s="36"/>
    </row>
    <row r="10" spans="1:17" ht="11.25" customHeight="1">
      <c r="A10" s="68"/>
      <c r="B10" s="40"/>
      <c r="C10" s="36"/>
      <c r="D10" s="36"/>
      <c r="E10" s="36"/>
      <c r="F10" s="36"/>
      <c r="G10" s="36"/>
      <c r="H10" s="36"/>
      <c r="I10" s="74"/>
      <c r="J10" s="36"/>
      <c r="K10" s="36"/>
      <c r="L10" s="36"/>
      <c r="M10" s="36"/>
      <c r="N10" s="40"/>
      <c r="O10" s="36"/>
      <c r="P10" s="36"/>
      <c r="Q10" s="36"/>
    </row>
    <row r="11" spans="1:17" ht="11.25" customHeight="1">
      <c r="A11" s="11">
        <v>1</v>
      </c>
      <c r="B11" s="11">
        <v>2</v>
      </c>
      <c r="C11" s="11">
        <v>3</v>
      </c>
      <c r="D11" s="11">
        <v>4</v>
      </c>
      <c r="E11" s="11">
        <v>5</v>
      </c>
      <c r="F11" s="11">
        <v>6</v>
      </c>
      <c r="G11" s="11">
        <v>7</v>
      </c>
      <c r="H11" s="11">
        <v>8</v>
      </c>
      <c r="I11" s="11">
        <v>9</v>
      </c>
      <c r="J11" s="11">
        <v>10</v>
      </c>
      <c r="K11" s="11">
        <v>11</v>
      </c>
      <c r="L11" s="11">
        <v>12</v>
      </c>
      <c r="M11" s="11">
        <v>13</v>
      </c>
      <c r="N11" s="11">
        <v>14</v>
      </c>
      <c r="O11" s="11">
        <v>15</v>
      </c>
      <c r="P11" s="11">
        <v>16</v>
      </c>
      <c r="Q11" s="11">
        <v>17</v>
      </c>
    </row>
    <row r="12" spans="1:17" ht="13.5" customHeight="1">
      <c r="A12" s="11"/>
      <c r="B12" s="26" t="s">
        <v>76</v>
      </c>
      <c r="C12" s="27"/>
      <c r="D12" s="27"/>
      <c r="E12" s="27"/>
      <c r="F12" s="27"/>
      <c r="G12" s="27"/>
      <c r="H12" s="27"/>
      <c r="I12" s="27"/>
      <c r="J12" s="27"/>
      <c r="K12" s="27"/>
      <c r="L12" s="27"/>
      <c r="M12" s="27"/>
      <c r="N12" s="27"/>
      <c r="O12" s="27"/>
      <c r="P12" s="27"/>
      <c r="Q12" s="28"/>
    </row>
    <row r="13" spans="1:17" ht="38.25" customHeight="1">
      <c r="A13" s="18" t="s">
        <v>45</v>
      </c>
      <c r="B13" s="19">
        <f>38408310968.83</f>
        <v>38408310968.83</v>
      </c>
      <c r="C13" s="19">
        <f>21418067668.74</f>
        <v>21418067668.74</v>
      </c>
      <c r="D13" s="19">
        <f>537979085.66</f>
        <v>537979085.66</v>
      </c>
      <c r="E13" s="19">
        <f>45088780.71</f>
        <v>45088780.71</v>
      </c>
      <c r="F13" s="19">
        <f>269841309.76</f>
        <v>269841309.76</v>
      </c>
      <c r="G13" s="19">
        <f>223048995.19</f>
        <v>223048995.19</v>
      </c>
      <c r="H13" s="19">
        <f>0</f>
        <v>0</v>
      </c>
      <c r="I13" s="19">
        <f>0</f>
        <v>0</v>
      </c>
      <c r="J13" s="19">
        <f>18892409614.83</f>
        <v>18892409614.83</v>
      </c>
      <c r="K13" s="19">
        <f>488980558.26</f>
        <v>488980558.26</v>
      </c>
      <c r="L13" s="19">
        <f>1483306020.01</f>
        <v>1483306020.01</v>
      </c>
      <c r="M13" s="19">
        <f>12531113.14</f>
        <v>12531113.14</v>
      </c>
      <c r="N13" s="19">
        <f>2861276.84</f>
        <v>2861276.84</v>
      </c>
      <c r="O13" s="19">
        <f>16990243300.09</f>
        <v>16990243300.09</v>
      </c>
      <c r="P13" s="19">
        <f>16870243300.09</f>
        <v>16870243300.09</v>
      </c>
      <c r="Q13" s="19">
        <f>120000000</f>
        <v>120000000</v>
      </c>
    </row>
    <row r="14" spans="1:17" ht="38.25" customHeight="1">
      <c r="A14" s="18" t="s">
        <v>46</v>
      </c>
      <c r="B14" s="19">
        <f>2567831000</f>
        <v>2567831000</v>
      </c>
      <c r="C14" s="19">
        <f>2567831000</f>
        <v>2567831000</v>
      </c>
      <c r="D14" s="19">
        <f>0</f>
        <v>0</v>
      </c>
      <c r="E14" s="19">
        <f>0</f>
        <v>0</v>
      </c>
      <c r="F14" s="19">
        <f>0</f>
        <v>0</v>
      </c>
      <c r="G14" s="19">
        <f>0</f>
        <v>0</v>
      </c>
      <c r="H14" s="19">
        <f>0</f>
        <v>0</v>
      </c>
      <c r="I14" s="19">
        <f>0</f>
        <v>0</v>
      </c>
      <c r="J14" s="19">
        <f>2567831000</f>
        <v>2567831000</v>
      </c>
      <c r="K14" s="19">
        <f>0</f>
        <v>0</v>
      </c>
      <c r="L14" s="19">
        <f>0</f>
        <v>0</v>
      </c>
      <c r="M14" s="19">
        <f>0</f>
        <v>0</v>
      </c>
      <c r="N14" s="19">
        <f>0</f>
        <v>0</v>
      </c>
      <c r="O14" s="19">
        <f>0</f>
        <v>0</v>
      </c>
      <c r="P14" s="19">
        <f>0</f>
        <v>0</v>
      </c>
      <c r="Q14" s="19">
        <f>0</f>
        <v>0</v>
      </c>
    </row>
    <row r="15" spans="1:17" ht="38.25" customHeight="1">
      <c r="A15" s="16" t="s">
        <v>47</v>
      </c>
      <c r="B15" s="20">
        <f>0</f>
        <v>0</v>
      </c>
      <c r="C15" s="20">
        <f>0</f>
        <v>0</v>
      </c>
      <c r="D15" s="20">
        <f>0</f>
        <v>0</v>
      </c>
      <c r="E15" s="20">
        <f>0</f>
        <v>0</v>
      </c>
      <c r="F15" s="20">
        <f>0</f>
        <v>0</v>
      </c>
      <c r="G15" s="20">
        <f>0</f>
        <v>0</v>
      </c>
      <c r="H15" s="20">
        <f>0</f>
        <v>0</v>
      </c>
      <c r="I15" s="20">
        <f>0</f>
        <v>0</v>
      </c>
      <c r="J15" s="20">
        <f>0</f>
        <v>0</v>
      </c>
      <c r="K15" s="20">
        <f>0</f>
        <v>0</v>
      </c>
      <c r="L15" s="20">
        <f>0</f>
        <v>0</v>
      </c>
      <c r="M15" s="20">
        <f>0</f>
        <v>0</v>
      </c>
      <c r="N15" s="20">
        <f>0</f>
        <v>0</v>
      </c>
      <c r="O15" s="20">
        <f>0</f>
        <v>0</v>
      </c>
      <c r="P15" s="20">
        <f>0</f>
        <v>0</v>
      </c>
      <c r="Q15" s="20">
        <f>0</f>
        <v>0</v>
      </c>
    </row>
    <row r="16" spans="1:17" ht="38.25" customHeight="1">
      <c r="A16" s="16" t="s">
        <v>48</v>
      </c>
      <c r="B16" s="20">
        <f>2567831000</f>
        <v>2567831000</v>
      </c>
      <c r="C16" s="20">
        <f>2567831000</f>
        <v>2567831000</v>
      </c>
      <c r="D16" s="20">
        <f>0</f>
        <v>0</v>
      </c>
      <c r="E16" s="20">
        <f>0</f>
        <v>0</v>
      </c>
      <c r="F16" s="20">
        <f>0</f>
        <v>0</v>
      </c>
      <c r="G16" s="20">
        <f>0</f>
        <v>0</v>
      </c>
      <c r="H16" s="20">
        <f>0</f>
        <v>0</v>
      </c>
      <c r="I16" s="20">
        <f>0</f>
        <v>0</v>
      </c>
      <c r="J16" s="20">
        <f>2567831000</f>
        <v>2567831000</v>
      </c>
      <c r="K16" s="20">
        <f>0</f>
        <v>0</v>
      </c>
      <c r="L16" s="20">
        <f>0</f>
        <v>0</v>
      </c>
      <c r="M16" s="20">
        <f>0</f>
        <v>0</v>
      </c>
      <c r="N16" s="20">
        <f>0</f>
        <v>0</v>
      </c>
      <c r="O16" s="20">
        <f>0</f>
        <v>0</v>
      </c>
      <c r="P16" s="20">
        <f>0</f>
        <v>0</v>
      </c>
      <c r="Q16" s="20">
        <f>0</f>
        <v>0</v>
      </c>
    </row>
    <row r="17" spans="1:17" ht="38.25" customHeight="1">
      <c r="A17" s="18" t="s">
        <v>49</v>
      </c>
      <c r="B17" s="19">
        <f>35818780915.3</f>
        <v>35818780915.3</v>
      </c>
      <c r="C17" s="19">
        <f>18828537615.21</f>
        <v>18828537615.21</v>
      </c>
      <c r="D17" s="19">
        <f>534887281.44</f>
        <v>534887281.44</v>
      </c>
      <c r="E17" s="19">
        <f>45086218.1</f>
        <v>45086218.1</v>
      </c>
      <c r="F17" s="19">
        <f>269841309.76</f>
        <v>269841309.76</v>
      </c>
      <c r="G17" s="19">
        <f>219959753.58</f>
        <v>219959753.58</v>
      </c>
      <c r="H17" s="19">
        <f>0</f>
        <v>0</v>
      </c>
      <c r="I17" s="19">
        <f>0</f>
        <v>0</v>
      </c>
      <c r="J17" s="19">
        <f>16324574162.16</f>
        <v>16324574162.16</v>
      </c>
      <c r="K17" s="19">
        <f>488953579.02</f>
        <v>488953579.02</v>
      </c>
      <c r="L17" s="19">
        <f>1479300191.6</f>
        <v>1479300191.6</v>
      </c>
      <c r="M17" s="19">
        <f>643840.99</f>
        <v>643840.99</v>
      </c>
      <c r="N17" s="19">
        <f>178560</f>
        <v>178560</v>
      </c>
      <c r="O17" s="19">
        <f>16990243300.09</f>
        <v>16990243300.09</v>
      </c>
      <c r="P17" s="19">
        <f>16870243300.09</f>
        <v>16870243300.09</v>
      </c>
      <c r="Q17" s="19">
        <f>120000000</f>
        <v>120000000</v>
      </c>
    </row>
    <row r="18" spans="1:17" ht="38.25" customHeight="1">
      <c r="A18" s="16" t="s">
        <v>50</v>
      </c>
      <c r="B18" s="20">
        <f>604840508.95</f>
        <v>604840508.95</v>
      </c>
      <c r="C18" s="20">
        <f>604840508.95</f>
        <v>604840508.95</v>
      </c>
      <c r="D18" s="20">
        <f>0</f>
        <v>0</v>
      </c>
      <c r="E18" s="20">
        <f>0</f>
        <v>0</v>
      </c>
      <c r="F18" s="20">
        <f>0</f>
        <v>0</v>
      </c>
      <c r="G18" s="20">
        <f>0</f>
        <v>0</v>
      </c>
      <c r="H18" s="20">
        <f>0</f>
        <v>0</v>
      </c>
      <c r="I18" s="20">
        <f>0</f>
        <v>0</v>
      </c>
      <c r="J18" s="20">
        <f>584840508.95</f>
        <v>584840508.95</v>
      </c>
      <c r="K18" s="20">
        <f>20000000</f>
        <v>20000000</v>
      </c>
      <c r="L18" s="20">
        <f>0</f>
        <v>0</v>
      </c>
      <c r="M18" s="20">
        <f>0</f>
        <v>0</v>
      </c>
      <c r="N18" s="20">
        <f>0</f>
        <v>0</v>
      </c>
      <c r="O18" s="20">
        <f>0</f>
        <v>0</v>
      </c>
      <c r="P18" s="20">
        <f>0</f>
        <v>0</v>
      </c>
      <c r="Q18" s="20">
        <f>0</f>
        <v>0</v>
      </c>
    </row>
    <row r="19" spans="1:17" ht="38.25" customHeight="1">
      <c r="A19" s="16" t="s">
        <v>51</v>
      </c>
      <c r="B19" s="20">
        <f>35213940406.35</f>
        <v>35213940406.35</v>
      </c>
      <c r="C19" s="20">
        <f>18223697106.26</f>
        <v>18223697106.26</v>
      </c>
      <c r="D19" s="20">
        <f>534887281.44</f>
        <v>534887281.44</v>
      </c>
      <c r="E19" s="20">
        <f>45086218.1</f>
        <v>45086218.1</v>
      </c>
      <c r="F19" s="20">
        <f>269841309.76</f>
        <v>269841309.76</v>
      </c>
      <c r="G19" s="20">
        <f>219959753.58</f>
        <v>219959753.58</v>
      </c>
      <c r="H19" s="20">
        <f>0</f>
        <v>0</v>
      </c>
      <c r="I19" s="20">
        <f>0</f>
        <v>0</v>
      </c>
      <c r="J19" s="20">
        <f>15739733653.21</f>
        <v>15739733653.21</v>
      </c>
      <c r="K19" s="20">
        <f>468953579.02</f>
        <v>468953579.02</v>
      </c>
      <c r="L19" s="20">
        <f>1479300191.6</f>
        <v>1479300191.6</v>
      </c>
      <c r="M19" s="20">
        <f>643840.99</f>
        <v>643840.99</v>
      </c>
      <c r="N19" s="20">
        <f>178560</f>
        <v>178560</v>
      </c>
      <c r="O19" s="20">
        <f>16990243300.09</f>
        <v>16990243300.09</v>
      </c>
      <c r="P19" s="20">
        <f>16870243300.09</f>
        <v>16870243300.09</v>
      </c>
      <c r="Q19" s="20">
        <f>120000000</f>
        <v>120000000</v>
      </c>
    </row>
    <row r="20" spans="1:17" ht="38.25" customHeight="1">
      <c r="A20" s="18" t="s">
        <v>52</v>
      </c>
      <c r="B20" s="19">
        <f>0</f>
        <v>0</v>
      </c>
      <c r="C20" s="19">
        <f>0</f>
        <v>0</v>
      </c>
      <c r="D20" s="19">
        <f>0</f>
        <v>0</v>
      </c>
      <c r="E20" s="19">
        <f>0</f>
        <v>0</v>
      </c>
      <c r="F20" s="19">
        <f>0</f>
        <v>0</v>
      </c>
      <c r="G20" s="19">
        <f>0</f>
        <v>0</v>
      </c>
      <c r="H20" s="19">
        <f>0</f>
        <v>0</v>
      </c>
      <c r="I20" s="19">
        <f>0</f>
        <v>0</v>
      </c>
      <c r="J20" s="19">
        <f>0</f>
        <v>0</v>
      </c>
      <c r="K20" s="19">
        <f>0</f>
        <v>0</v>
      </c>
      <c r="L20" s="19">
        <f>0</f>
        <v>0</v>
      </c>
      <c r="M20" s="19">
        <f>0</f>
        <v>0</v>
      </c>
      <c r="N20" s="19">
        <f>0</f>
        <v>0</v>
      </c>
      <c r="O20" s="19">
        <f>0</f>
        <v>0</v>
      </c>
      <c r="P20" s="19">
        <f>0</f>
        <v>0</v>
      </c>
      <c r="Q20" s="19">
        <f>0</f>
        <v>0</v>
      </c>
    </row>
    <row r="21" spans="1:17" ht="38.25" customHeight="1">
      <c r="A21" s="18" t="s">
        <v>77</v>
      </c>
      <c r="B21" s="19">
        <f>21699053.53</f>
        <v>21699053.53</v>
      </c>
      <c r="C21" s="19">
        <f>21699053.53</f>
        <v>21699053.53</v>
      </c>
      <c r="D21" s="19">
        <f>3091804.22</f>
        <v>3091804.22</v>
      </c>
      <c r="E21" s="19">
        <f>2562.61</f>
        <v>2562.61</v>
      </c>
      <c r="F21" s="19">
        <f>0</f>
        <v>0</v>
      </c>
      <c r="G21" s="19">
        <f>3089241.61</f>
        <v>3089241.61</v>
      </c>
      <c r="H21" s="19">
        <f>0</f>
        <v>0</v>
      </c>
      <c r="I21" s="19">
        <f>0</f>
        <v>0</v>
      </c>
      <c r="J21" s="19">
        <f>4452.67</f>
        <v>4452.67</v>
      </c>
      <c r="K21" s="19">
        <f>26979.24</f>
        <v>26979.24</v>
      </c>
      <c r="L21" s="19">
        <f>4005828.41</f>
        <v>4005828.41</v>
      </c>
      <c r="M21" s="19">
        <f>11887272.15</f>
        <v>11887272.15</v>
      </c>
      <c r="N21" s="19">
        <f>2682716.84</f>
        <v>2682716.84</v>
      </c>
      <c r="O21" s="19">
        <f>0</f>
        <v>0</v>
      </c>
      <c r="P21" s="19">
        <f>0</f>
        <v>0</v>
      </c>
      <c r="Q21" s="19">
        <f>0</f>
        <v>0</v>
      </c>
    </row>
    <row r="22" spans="1:17" ht="38.25" customHeight="1">
      <c r="A22" s="16" t="s">
        <v>53</v>
      </c>
      <c r="B22" s="20">
        <f>10193197.34</f>
        <v>10193197.34</v>
      </c>
      <c r="C22" s="20">
        <f>10193197.34</f>
        <v>10193197.34</v>
      </c>
      <c r="D22" s="20">
        <f>47766.54</f>
        <v>47766.54</v>
      </c>
      <c r="E22" s="20">
        <f>400.88</f>
        <v>400.88</v>
      </c>
      <c r="F22" s="20">
        <f>0</f>
        <v>0</v>
      </c>
      <c r="G22" s="20">
        <f>47365.66</f>
        <v>47365.66</v>
      </c>
      <c r="H22" s="20">
        <f>0</f>
        <v>0</v>
      </c>
      <c r="I22" s="20">
        <f>0</f>
        <v>0</v>
      </c>
      <c r="J22" s="20">
        <f>0</f>
        <v>0</v>
      </c>
      <c r="K22" s="20">
        <f>26979.24</f>
        <v>26979.24</v>
      </c>
      <c r="L22" s="20">
        <f>2846216.36</f>
        <v>2846216.36</v>
      </c>
      <c r="M22" s="20">
        <f>5809050.92</f>
        <v>5809050.92</v>
      </c>
      <c r="N22" s="20">
        <f>1463184.28</f>
        <v>1463184.28</v>
      </c>
      <c r="O22" s="20">
        <f>0</f>
        <v>0</v>
      </c>
      <c r="P22" s="20">
        <f>0</f>
        <v>0</v>
      </c>
      <c r="Q22" s="20">
        <f>0</f>
        <v>0</v>
      </c>
    </row>
    <row r="23" spans="1:17" ht="38.25" customHeight="1">
      <c r="A23" s="16" t="s">
        <v>54</v>
      </c>
      <c r="B23" s="20">
        <f>11505856.19</f>
        <v>11505856.19</v>
      </c>
      <c r="C23" s="20">
        <f>11505856.19</f>
        <v>11505856.19</v>
      </c>
      <c r="D23" s="20">
        <f>3044037.68</f>
        <v>3044037.68</v>
      </c>
      <c r="E23" s="20">
        <f>2161.73</f>
        <v>2161.73</v>
      </c>
      <c r="F23" s="20">
        <f>0</f>
        <v>0</v>
      </c>
      <c r="G23" s="20">
        <f>3041875.95</f>
        <v>3041875.95</v>
      </c>
      <c r="H23" s="20">
        <f>0</f>
        <v>0</v>
      </c>
      <c r="I23" s="20">
        <f>0</f>
        <v>0</v>
      </c>
      <c r="J23" s="20">
        <f>4452.67</f>
        <v>4452.67</v>
      </c>
      <c r="K23" s="20">
        <f>0</f>
        <v>0</v>
      </c>
      <c r="L23" s="20">
        <f>1159612.05</f>
        <v>1159612.05</v>
      </c>
      <c r="M23" s="20">
        <f>6078221.23</f>
        <v>6078221.23</v>
      </c>
      <c r="N23" s="20">
        <f>1219532.56</f>
        <v>1219532.56</v>
      </c>
      <c r="O23" s="20">
        <f>0</f>
        <v>0</v>
      </c>
      <c r="P23" s="20">
        <f>0</f>
        <v>0</v>
      </c>
      <c r="Q23" s="20">
        <f>0</f>
        <v>0</v>
      </c>
    </row>
    <row r="24" spans="1:17" ht="19.5" customHeight="1">
      <c r="A24" s="14"/>
      <c r="B24" s="15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5"/>
      <c r="P24" s="15"/>
      <c r="Q24" s="15"/>
    </row>
    <row r="25" spans="1:17" ht="19.5" customHeight="1">
      <c r="A25" s="14"/>
      <c r="B25" s="15"/>
      <c r="C25" s="15"/>
      <c r="D25" s="15"/>
      <c r="E25" s="15"/>
      <c r="F25" s="15"/>
      <c r="G25" s="15"/>
      <c r="H25" s="15"/>
      <c r="I25" s="15"/>
      <c r="J25" s="15"/>
      <c r="K25" s="15"/>
      <c r="L25" s="15"/>
      <c r="M25" s="15"/>
      <c r="N25" s="15"/>
      <c r="O25" s="15"/>
      <c r="P25" s="15"/>
      <c r="Q25" s="15"/>
    </row>
    <row r="26" spans="1:17" ht="19.5" customHeight="1">
      <c r="A26" s="14"/>
      <c r="B26" s="15"/>
      <c r="C26" s="15"/>
      <c r="D26" s="15"/>
      <c r="E26" s="15"/>
      <c r="F26" s="15"/>
      <c r="G26" s="15"/>
      <c r="H26" s="15"/>
      <c r="I26" s="15"/>
      <c r="J26" s="15"/>
      <c r="K26" s="15"/>
      <c r="L26" s="15"/>
      <c r="M26" s="15"/>
      <c r="N26" s="15"/>
      <c r="O26" s="15"/>
      <c r="P26" s="15"/>
      <c r="Q26" s="15"/>
    </row>
    <row r="27" spans="1:17" ht="19.5" customHeight="1">
      <c r="A27" s="14"/>
      <c r="B27" s="15"/>
      <c r="C27" s="15"/>
      <c r="D27" s="15"/>
      <c r="E27" s="15"/>
      <c r="F27" s="15"/>
      <c r="G27" s="15"/>
      <c r="H27" s="15"/>
      <c r="I27" s="15"/>
      <c r="J27" s="15"/>
      <c r="K27" s="15"/>
      <c r="L27" s="15"/>
      <c r="M27" s="15"/>
      <c r="N27" s="15"/>
      <c r="O27" s="15"/>
      <c r="P27" s="15"/>
      <c r="Q27" s="15"/>
    </row>
    <row r="28" spans="1:17" ht="19.5" customHeight="1">
      <c r="A28" s="14"/>
      <c r="B28" s="15"/>
      <c r="C28" s="15"/>
      <c r="D28" s="15"/>
      <c r="E28" s="15"/>
      <c r="F28" s="15"/>
      <c r="G28" s="15"/>
      <c r="H28" s="15"/>
      <c r="I28" s="15"/>
      <c r="J28" s="15"/>
      <c r="K28" s="15"/>
      <c r="L28" s="15"/>
      <c r="M28" s="15"/>
      <c r="N28" s="15"/>
      <c r="O28" s="15"/>
      <c r="P28" s="15"/>
      <c r="Q28" s="15"/>
    </row>
    <row r="29" spans="1:17" ht="19.5" customHeight="1">
      <c r="A29" s="14"/>
      <c r="B29" s="15"/>
      <c r="C29" s="15"/>
      <c r="D29" s="15"/>
      <c r="E29" s="15"/>
      <c r="F29" s="15"/>
      <c r="G29" s="15"/>
      <c r="H29" s="15"/>
      <c r="I29" s="15"/>
      <c r="J29" s="15"/>
      <c r="K29" s="15"/>
      <c r="L29" s="15"/>
      <c r="M29" s="15"/>
      <c r="N29" s="15"/>
      <c r="O29" s="15"/>
      <c r="P29" s="15"/>
      <c r="Q29" s="15"/>
    </row>
    <row r="30" spans="1:13" ht="45.75" customHeight="1">
      <c r="A30" s="37" t="s">
        <v>78</v>
      </c>
      <c r="B30" s="37"/>
      <c r="C30" s="37"/>
      <c r="D30" s="37"/>
      <c r="E30" s="37"/>
      <c r="F30" s="37"/>
      <c r="G30" s="37"/>
      <c r="H30" s="37"/>
      <c r="I30" s="37"/>
      <c r="J30" s="37"/>
      <c r="K30" s="37"/>
      <c r="L30" s="37"/>
      <c r="M30" s="37"/>
    </row>
    <row r="32" spans="1:13" ht="13.5" customHeight="1">
      <c r="A32" s="47" t="s">
        <v>9</v>
      </c>
      <c r="B32" s="47"/>
      <c r="C32" s="47"/>
      <c r="D32" s="47"/>
      <c r="E32" s="47"/>
      <c r="F32" s="47"/>
      <c r="G32" s="47"/>
      <c r="H32" s="47"/>
      <c r="I32" s="47"/>
      <c r="J32" s="47"/>
      <c r="K32" s="47"/>
      <c r="L32" s="47"/>
      <c r="M32" s="47"/>
    </row>
    <row r="34" spans="1:17" ht="13.5" customHeight="1">
      <c r="A34" s="66" t="s">
        <v>0</v>
      </c>
      <c r="B34" s="38" t="s">
        <v>10</v>
      </c>
      <c r="C34" s="76" t="s">
        <v>12</v>
      </c>
      <c r="D34" s="77"/>
      <c r="E34" s="77"/>
      <c r="F34" s="77"/>
      <c r="G34" s="77"/>
      <c r="H34" s="77"/>
      <c r="I34" s="77"/>
      <c r="J34" s="77"/>
      <c r="K34" s="77"/>
      <c r="L34" s="77"/>
      <c r="M34" s="77"/>
      <c r="N34" s="78"/>
      <c r="O34" s="76" t="s">
        <v>22</v>
      </c>
      <c r="P34" s="77"/>
      <c r="Q34" s="78"/>
    </row>
    <row r="35" spans="1:17" ht="13.5" customHeight="1">
      <c r="A35" s="67"/>
      <c r="B35" s="39"/>
      <c r="C35" s="39" t="s">
        <v>11</v>
      </c>
      <c r="D35" s="36" t="s">
        <v>13</v>
      </c>
      <c r="E35" s="36" t="s">
        <v>23</v>
      </c>
      <c r="F35" s="36" t="s">
        <v>24</v>
      </c>
      <c r="G35" s="36" t="s">
        <v>73</v>
      </c>
      <c r="H35" s="36" t="s">
        <v>26</v>
      </c>
      <c r="I35" s="36" t="s">
        <v>2</v>
      </c>
      <c r="J35" s="36" t="s">
        <v>14</v>
      </c>
      <c r="K35" s="36" t="s">
        <v>15</v>
      </c>
      <c r="L35" s="36" t="s">
        <v>16</v>
      </c>
      <c r="M35" s="36" t="s">
        <v>17</v>
      </c>
      <c r="N35" s="41" t="s">
        <v>18</v>
      </c>
      <c r="O35" s="36" t="s">
        <v>19</v>
      </c>
      <c r="P35" s="36" t="s">
        <v>20</v>
      </c>
      <c r="Q35" s="38" t="s">
        <v>21</v>
      </c>
    </row>
    <row r="36" spans="1:17" ht="11.25" customHeight="1">
      <c r="A36" s="67"/>
      <c r="B36" s="39"/>
      <c r="C36" s="39"/>
      <c r="D36" s="36"/>
      <c r="E36" s="36"/>
      <c r="F36" s="36"/>
      <c r="G36" s="36"/>
      <c r="H36" s="36"/>
      <c r="I36" s="36"/>
      <c r="J36" s="36"/>
      <c r="K36" s="36"/>
      <c r="L36" s="36"/>
      <c r="M36" s="36"/>
      <c r="N36" s="41"/>
      <c r="O36" s="36"/>
      <c r="P36" s="36"/>
      <c r="Q36" s="39"/>
    </row>
    <row r="37" spans="1:17" ht="24.75" customHeight="1">
      <c r="A37" s="68"/>
      <c r="B37" s="40"/>
      <c r="C37" s="40"/>
      <c r="D37" s="36"/>
      <c r="E37" s="36"/>
      <c r="F37" s="36"/>
      <c r="G37" s="36"/>
      <c r="H37" s="36"/>
      <c r="I37" s="36"/>
      <c r="J37" s="36"/>
      <c r="K37" s="36"/>
      <c r="L37" s="36"/>
      <c r="M37" s="36"/>
      <c r="N37" s="41"/>
      <c r="O37" s="36"/>
      <c r="P37" s="36"/>
      <c r="Q37" s="40"/>
    </row>
    <row r="38" spans="1:17" ht="13.5" customHeight="1">
      <c r="A38" s="11">
        <v>1</v>
      </c>
      <c r="B38" s="11">
        <v>2</v>
      </c>
      <c r="C38" s="11">
        <v>3</v>
      </c>
      <c r="D38" s="11">
        <v>4</v>
      </c>
      <c r="E38" s="11">
        <v>5</v>
      </c>
      <c r="F38" s="11">
        <v>6</v>
      </c>
      <c r="G38" s="11">
        <v>7</v>
      </c>
      <c r="H38" s="11">
        <v>8</v>
      </c>
      <c r="I38" s="11">
        <v>9</v>
      </c>
      <c r="J38" s="11">
        <v>10</v>
      </c>
      <c r="K38" s="11">
        <v>11</v>
      </c>
      <c r="L38" s="11">
        <v>12</v>
      </c>
      <c r="M38" s="11">
        <v>13</v>
      </c>
      <c r="N38" s="11">
        <v>14</v>
      </c>
      <c r="O38" s="11">
        <v>15</v>
      </c>
      <c r="P38" s="11">
        <v>16</v>
      </c>
      <c r="Q38" s="11">
        <v>17</v>
      </c>
    </row>
    <row r="39" spans="1:17" ht="12.75" customHeight="1">
      <c r="A39" s="10"/>
      <c r="B39" s="29" t="s">
        <v>76</v>
      </c>
      <c r="C39" s="30"/>
      <c r="D39" s="30"/>
      <c r="E39" s="30"/>
      <c r="F39" s="30"/>
      <c r="G39" s="30"/>
      <c r="H39" s="30"/>
      <c r="I39" s="30"/>
      <c r="J39" s="30"/>
      <c r="K39" s="30"/>
      <c r="L39" s="30"/>
      <c r="M39" s="30"/>
      <c r="N39" s="30"/>
      <c r="O39" s="30"/>
      <c r="P39" s="30"/>
      <c r="Q39" s="31"/>
    </row>
    <row r="40" spans="1:17" ht="27.75" customHeight="1" hidden="1">
      <c r="A40" s="12" t="s">
        <v>27</v>
      </c>
      <c r="B40" s="13">
        <f>0</f>
        <v>0</v>
      </c>
      <c r="C40" s="13">
        <f>0</f>
        <v>0</v>
      </c>
      <c r="D40" s="13">
        <f>0</f>
        <v>0</v>
      </c>
      <c r="E40" s="13">
        <f>0</f>
        <v>0</v>
      </c>
      <c r="F40" s="13">
        <f>0</f>
        <v>0</v>
      </c>
      <c r="G40" s="13">
        <f>0</f>
        <v>0</v>
      </c>
      <c r="H40" s="13">
        <f>0</f>
        <v>0</v>
      </c>
      <c r="I40" s="13">
        <f>0</f>
        <v>0</v>
      </c>
      <c r="J40" s="13">
        <f>0</f>
        <v>0</v>
      </c>
      <c r="K40" s="13">
        <f>0</f>
        <v>0</v>
      </c>
      <c r="L40" s="13">
        <f>0</f>
        <v>0</v>
      </c>
      <c r="M40" s="13">
        <f>0</f>
        <v>0</v>
      </c>
      <c r="N40" s="13">
        <f>0</f>
        <v>0</v>
      </c>
      <c r="O40" s="13">
        <f>0</f>
        <v>0</v>
      </c>
      <c r="P40" s="13">
        <f>0</f>
        <v>0</v>
      </c>
      <c r="Q40" s="13">
        <f>0</f>
        <v>0</v>
      </c>
    </row>
    <row r="41" spans="1:17" ht="26.25" customHeight="1">
      <c r="A41" s="23" t="s">
        <v>40</v>
      </c>
      <c r="B41" s="21">
        <f>71046.2</f>
        <v>71046.2</v>
      </c>
      <c r="C41" s="21">
        <f>71046.2</f>
        <v>71046.2</v>
      </c>
      <c r="D41" s="21">
        <f>0</f>
        <v>0</v>
      </c>
      <c r="E41" s="21">
        <f>0</f>
        <v>0</v>
      </c>
      <c r="F41" s="21">
        <f>0</f>
        <v>0</v>
      </c>
      <c r="G41" s="21">
        <f>0</f>
        <v>0</v>
      </c>
      <c r="H41" s="21">
        <f>0</f>
        <v>0</v>
      </c>
      <c r="I41" s="21">
        <f>0</f>
        <v>0</v>
      </c>
      <c r="J41" s="21">
        <f>0</f>
        <v>0</v>
      </c>
      <c r="K41" s="21">
        <f>0</f>
        <v>0</v>
      </c>
      <c r="L41" s="21">
        <f>71046.2</f>
        <v>71046.2</v>
      </c>
      <c r="M41" s="21">
        <f>0</f>
        <v>0</v>
      </c>
      <c r="N41" s="21">
        <f>0</f>
        <v>0</v>
      </c>
      <c r="O41" s="21">
        <f>0</f>
        <v>0</v>
      </c>
      <c r="P41" s="21">
        <f>0</f>
        <v>0</v>
      </c>
      <c r="Q41" s="21">
        <f>0</f>
        <v>0</v>
      </c>
    </row>
    <row r="42" spans="1:17" ht="26.25" customHeight="1">
      <c r="A42" s="17" t="s">
        <v>28</v>
      </c>
      <c r="B42" s="22">
        <f>0</f>
        <v>0</v>
      </c>
      <c r="C42" s="22">
        <f>0</f>
        <v>0</v>
      </c>
      <c r="D42" s="22">
        <f>0</f>
        <v>0</v>
      </c>
      <c r="E42" s="22">
        <f>0</f>
        <v>0</v>
      </c>
      <c r="F42" s="22">
        <f>0</f>
        <v>0</v>
      </c>
      <c r="G42" s="22">
        <f>0</f>
        <v>0</v>
      </c>
      <c r="H42" s="22">
        <f>0</f>
        <v>0</v>
      </c>
      <c r="I42" s="22">
        <f>0</f>
        <v>0</v>
      </c>
      <c r="J42" s="22">
        <f>0</f>
        <v>0</v>
      </c>
      <c r="K42" s="22">
        <f>0</f>
        <v>0</v>
      </c>
      <c r="L42" s="22">
        <f>0</f>
        <v>0</v>
      </c>
      <c r="M42" s="22">
        <f>0</f>
        <v>0</v>
      </c>
      <c r="N42" s="22">
        <f>0</f>
        <v>0</v>
      </c>
      <c r="O42" s="22">
        <f>0</f>
        <v>0</v>
      </c>
      <c r="P42" s="22">
        <f>0</f>
        <v>0</v>
      </c>
      <c r="Q42" s="22">
        <f>0</f>
        <v>0</v>
      </c>
    </row>
    <row r="43" spans="1:17" ht="26.25" customHeight="1">
      <c r="A43" s="17" t="s">
        <v>29</v>
      </c>
      <c r="B43" s="22">
        <f>71046.2</f>
        <v>71046.2</v>
      </c>
      <c r="C43" s="22">
        <f>71046.2</f>
        <v>71046.2</v>
      </c>
      <c r="D43" s="22">
        <f>0</f>
        <v>0</v>
      </c>
      <c r="E43" s="22">
        <f>0</f>
        <v>0</v>
      </c>
      <c r="F43" s="22">
        <f>0</f>
        <v>0</v>
      </c>
      <c r="G43" s="22">
        <f>0</f>
        <v>0</v>
      </c>
      <c r="H43" s="22">
        <f>0</f>
        <v>0</v>
      </c>
      <c r="I43" s="22">
        <f>0</f>
        <v>0</v>
      </c>
      <c r="J43" s="22">
        <f>0</f>
        <v>0</v>
      </c>
      <c r="K43" s="22">
        <f>0</f>
        <v>0</v>
      </c>
      <c r="L43" s="22">
        <f>71046.2</f>
        <v>71046.2</v>
      </c>
      <c r="M43" s="22">
        <f>0</f>
        <v>0</v>
      </c>
      <c r="N43" s="22">
        <f>0</f>
        <v>0</v>
      </c>
      <c r="O43" s="22">
        <f>0</f>
        <v>0</v>
      </c>
      <c r="P43" s="22">
        <f>0</f>
        <v>0</v>
      </c>
      <c r="Q43" s="22">
        <f>0</f>
        <v>0</v>
      </c>
    </row>
    <row r="44" spans="1:17" ht="26.25" customHeight="1">
      <c r="A44" s="23" t="s">
        <v>41</v>
      </c>
      <c r="B44" s="21">
        <f>1263729644.43</f>
        <v>1263729644.43</v>
      </c>
      <c r="C44" s="21">
        <f>1263729644.43</f>
        <v>1263729644.43</v>
      </c>
      <c r="D44" s="21">
        <f>86834215.05</f>
        <v>86834215.05</v>
      </c>
      <c r="E44" s="21">
        <f>308877.9</f>
        <v>308877.9</v>
      </c>
      <c r="F44" s="21">
        <f>67187.5</f>
        <v>67187.5</v>
      </c>
      <c r="G44" s="21">
        <f>86458149.65</f>
        <v>86458149.65</v>
      </c>
      <c r="H44" s="21">
        <f>0</f>
        <v>0</v>
      </c>
      <c r="I44" s="21">
        <f>0</f>
        <v>0</v>
      </c>
      <c r="J44" s="21">
        <f>0</f>
        <v>0</v>
      </c>
      <c r="K44" s="21">
        <f>45000</f>
        <v>45000</v>
      </c>
      <c r="L44" s="21">
        <f>883949868.02</f>
        <v>883949868.02</v>
      </c>
      <c r="M44" s="21">
        <f>286946778.01</f>
        <v>286946778.01</v>
      </c>
      <c r="N44" s="21">
        <f>5953783.35</f>
        <v>5953783.35</v>
      </c>
      <c r="O44" s="21">
        <f>0</f>
        <v>0</v>
      </c>
      <c r="P44" s="21">
        <f>0</f>
        <v>0</v>
      </c>
      <c r="Q44" s="21">
        <f>0</f>
        <v>0</v>
      </c>
    </row>
    <row r="45" spans="1:17" ht="26.25" customHeight="1">
      <c r="A45" s="17" t="s">
        <v>30</v>
      </c>
      <c r="B45" s="22">
        <f>845113901.93</f>
        <v>845113901.93</v>
      </c>
      <c r="C45" s="22">
        <f>845113901.93</f>
        <v>845113901.93</v>
      </c>
      <c r="D45" s="22">
        <f>15912273.57</f>
        <v>15912273.57</v>
      </c>
      <c r="E45" s="22">
        <f>308877.9</f>
        <v>308877.9</v>
      </c>
      <c r="F45" s="22">
        <f>0</f>
        <v>0</v>
      </c>
      <c r="G45" s="22">
        <f>15603395.67</f>
        <v>15603395.67</v>
      </c>
      <c r="H45" s="22">
        <f>0</f>
        <v>0</v>
      </c>
      <c r="I45" s="22">
        <f>0</f>
        <v>0</v>
      </c>
      <c r="J45" s="22">
        <f>0</f>
        <v>0</v>
      </c>
      <c r="K45" s="22">
        <f>45000</f>
        <v>45000</v>
      </c>
      <c r="L45" s="22">
        <f>651998852.84</f>
        <v>651998852.84</v>
      </c>
      <c r="M45" s="22">
        <f>175850183.31</f>
        <v>175850183.31</v>
      </c>
      <c r="N45" s="22">
        <f>1307592.21</f>
        <v>1307592.21</v>
      </c>
      <c r="O45" s="22">
        <f>0</f>
        <v>0</v>
      </c>
      <c r="P45" s="22">
        <f>0</f>
        <v>0</v>
      </c>
      <c r="Q45" s="22">
        <f>0</f>
        <v>0</v>
      </c>
    </row>
    <row r="46" spans="1:17" ht="26.25" customHeight="1">
      <c r="A46" s="17" t="s">
        <v>31</v>
      </c>
      <c r="B46" s="22">
        <f>418615742.5</f>
        <v>418615742.5</v>
      </c>
      <c r="C46" s="22">
        <f>418615742.5</f>
        <v>418615742.5</v>
      </c>
      <c r="D46" s="22">
        <f>70921941.48</f>
        <v>70921941.48</v>
      </c>
      <c r="E46" s="22">
        <f>0</f>
        <v>0</v>
      </c>
      <c r="F46" s="22">
        <f>67187.5</f>
        <v>67187.5</v>
      </c>
      <c r="G46" s="22">
        <f>70854753.98</f>
        <v>70854753.98</v>
      </c>
      <c r="H46" s="22">
        <f>0</f>
        <v>0</v>
      </c>
      <c r="I46" s="22">
        <f>0</f>
        <v>0</v>
      </c>
      <c r="J46" s="22">
        <f>0</f>
        <v>0</v>
      </c>
      <c r="K46" s="22">
        <f>0</f>
        <v>0</v>
      </c>
      <c r="L46" s="22">
        <f>231951015.18</f>
        <v>231951015.18</v>
      </c>
      <c r="M46" s="22">
        <f>111096594.7</f>
        <v>111096594.7</v>
      </c>
      <c r="N46" s="22">
        <f>4646191.14</f>
        <v>4646191.14</v>
      </c>
      <c r="O46" s="22">
        <f>0</f>
        <v>0</v>
      </c>
      <c r="P46" s="22">
        <f>0</f>
        <v>0</v>
      </c>
      <c r="Q46" s="22">
        <f>0</f>
        <v>0</v>
      </c>
    </row>
    <row r="47" spans="1:17" ht="26.25" customHeight="1">
      <c r="A47" s="23" t="s">
        <v>42</v>
      </c>
      <c r="B47" s="21">
        <f>8073374260.98</f>
        <v>8073374260.98</v>
      </c>
      <c r="C47" s="21">
        <f>8073374260.98</f>
        <v>8073374260.98</v>
      </c>
      <c r="D47" s="21">
        <f>14743095.71</f>
        <v>14743095.71</v>
      </c>
      <c r="E47" s="21">
        <f>2565</f>
        <v>2565</v>
      </c>
      <c r="F47" s="21">
        <f>28828.03</f>
        <v>28828.03</v>
      </c>
      <c r="G47" s="21">
        <f>14672853</f>
        <v>14672853</v>
      </c>
      <c r="H47" s="21">
        <f>38849.68</f>
        <v>38849.68</v>
      </c>
      <c r="I47" s="21">
        <f>11537175.19</f>
        <v>11537175.19</v>
      </c>
      <c r="J47" s="21">
        <f>8045827072.76</f>
        <v>8045827072.76</v>
      </c>
      <c r="K47" s="21">
        <f>0</f>
        <v>0</v>
      </c>
      <c r="L47" s="21">
        <f>1094295.36</f>
        <v>1094295.36</v>
      </c>
      <c r="M47" s="21">
        <f>14100.7</f>
        <v>14100.7</v>
      </c>
      <c r="N47" s="21">
        <f>158521.26</f>
        <v>158521.26</v>
      </c>
      <c r="O47" s="21">
        <f>0</f>
        <v>0</v>
      </c>
      <c r="P47" s="21">
        <f>0</f>
        <v>0</v>
      </c>
      <c r="Q47" s="21">
        <f>0</f>
        <v>0</v>
      </c>
    </row>
    <row r="48" spans="1:17" ht="26.25" customHeight="1">
      <c r="A48" s="17" t="s">
        <v>32</v>
      </c>
      <c r="B48" s="22">
        <f>7096971.62</f>
        <v>7096971.62</v>
      </c>
      <c r="C48" s="22">
        <f>7096971.62</f>
        <v>7096971.62</v>
      </c>
      <c r="D48" s="22">
        <f>7096971.62</f>
        <v>7096971.62</v>
      </c>
      <c r="E48" s="22">
        <f>0</f>
        <v>0</v>
      </c>
      <c r="F48" s="22">
        <f>0</f>
        <v>0</v>
      </c>
      <c r="G48" s="22">
        <f>7058121.94</f>
        <v>7058121.94</v>
      </c>
      <c r="H48" s="22">
        <f>38849.68</f>
        <v>38849.68</v>
      </c>
      <c r="I48" s="22">
        <f>0</f>
        <v>0</v>
      </c>
      <c r="J48" s="22">
        <f>0</f>
        <v>0</v>
      </c>
      <c r="K48" s="22">
        <f>0</f>
        <v>0</v>
      </c>
      <c r="L48" s="22">
        <f>0</f>
        <v>0</v>
      </c>
      <c r="M48" s="22">
        <f>0</f>
        <v>0</v>
      </c>
      <c r="N48" s="22">
        <f>0</f>
        <v>0</v>
      </c>
      <c r="O48" s="22">
        <f>0</f>
        <v>0</v>
      </c>
      <c r="P48" s="22">
        <f>0</f>
        <v>0</v>
      </c>
      <c r="Q48" s="22">
        <f>0</f>
        <v>0</v>
      </c>
    </row>
    <row r="49" spans="1:17" ht="26.25" customHeight="1">
      <c r="A49" s="17" t="s">
        <v>33</v>
      </c>
      <c r="B49" s="22">
        <f>7134356239.89</f>
        <v>7134356239.89</v>
      </c>
      <c r="C49" s="22">
        <f>7134356239.89</f>
        <v>7134356239.89</v>
      </c>
      <c r="D49" s="22">
        <f>7495688.82</f>
        <v>7495688.82</v>
      </c>
      <c r="E49" s="22">
        <f>0</f>
        <v>0</v>
      </c>
      <c r="F49" s="22">
        <f>537.03</f>
        <v>537.03</v>
      </c>
      <c r="G49" s="22">
        <f>7495151.79</f>
        <v>7495151.79</v>
      </c>
      <c r="H49" s="22">
        <f>0</f>
        <v>0</v>
      </c>
      <c r="I49" s="22">
        <f>11484759.19</f>
        <v>11484759.19</v>
      </c>
      <c r="J49" s="22">
        <f>7115231558.87</f>
        <v>7115231558.87</v>
      </c>
      <c r="K49" s="22">
        <f>0</f>
        <v>0</v>
      </c>
      <c r="L49" s="22">
        <f>140084.31</f>
        <v>140084.31</v>
      </c>
      <c r="M49" s="22">
        <f>4148.7</f>
        <v>4148.7</v>
      </c>
      <c r="N49" s="22">
        <f>0</f>
        <v>0</v>
      </c>
      <c r="O49" s="22">
        <f>0</f>
        <v>0</v>
      </c>
      <c r="P49" s="22">
        <f>0</f>
        <v>0</v>
      </c>
      <c r="Q49" s="22">
        <f>0</f>
        <v>0</v>
      </c>
    </row>
    <row r="50" spans="1:17" ht="26.25" customHeight="1">
      <c r="A50" s="17" t="s">
        <v>34</v>
      </c>
      <c r="B50" s="22">
        <f>931921049.47</f>
        <v>931921049.47</v>
      </c>
      <c r="C50" s="22">
        <f>931921049.47</f>
        <v>931921049.47</v>
      </c>
      <c r="D50" s="22">
        <f>150435.27</f>
        <v>150435.27</v>
      </c>
      <c r="E50" s="22">
        <f>2565</f>
        <v>2565</v>
      </c>
      <c r="F50" s="22">
        <f>28291</f>
        <v>28291</v>
      </c>
      <c r="G50" s="22">
        <f>119579.27</f>
        <v>119579.27</v>
      </c>
      <c r="H50" s="22">
        <f>0</f>
        <v>0</v>
      </c>
      <c r="I50" s="22">
        <f>52416</f>
        <v>52416</v>
      </c>
      <c r="J50" s="22">
        <f>930595513.89</f>
        <v>930595513.89</v>
      </c>
      <c r="K50" s="22">
        <f>0</f>
        <v>0</v>
      </c>
      <c r="L50" s="22">
        <f>954211.05</f>
        <v>954211.05</v>
      </c>
      <c r="M50" s="22">
        <f>9952</f>
        <v>9952</v>
      </c>
      <c r="N50" s="22">
        <f>158521.26</f>
        <v>158521.26</v>
      </c>
      <c r="O50" s="22">
        <f>0</f>
        <v>0</v>
      </c>
      <c r="P50" s="22">
        <f>0</f>
        <v>0</v>
      </c>
      <c r="Q50" s="22">
        <f>0</f>
        <v>0</v>
      </c>
    </row>
    <row r="51" spans="1:17" ht="26.25" customHeight="1">
      <c r="A51" s="23" t="s">
        <v>43</v>
      </c>
      <c r="B51" s="21">
        <f>12272468929.21</f>
        <v>12272468929.21</v>
      </c>
      <c r="C51" s="21">
        <f>12249192491.53</f>
        <v>12249192491.53</v>
      </c>
      <c r="D51" s="21">
        <f>374252979.07</f>
        <v>374252979.07</v>
      </c>
      <c r="E51" s="21">
        <f>103107343.94</f>
        <v>103107343.94</v>
      </c>
      <c r="F51" s="21">
        <f>23969797.23</f>
        <v>23969797.23</v>
      </c>
      <c r="G51" s="21">
        <f>244404671.42</f>
        <v>244404671.42</v>
      </c>
      <c r="H51" s="21">
        <f>2771166.48</f>
        <v>2771166.48</v>
      </c>
      <c r="I51" s="21">
        <f>0</f>
        <v>0</v>
      </c>
      <c r="J51" s="21">
        <f>1190840.64</f>
        <v>1190840.64</v>
      </c>
      <c r="K51" s="21">
        <f>3434753.7</f>
        <v>3434753.7</v>
      </c>
      <c r="L51" s="21">
        <f>2829338776.28</f>
        <v>2829338776.28</v>
      </c>
      <c r="M51" s="21">
        <f>8974879780.86</f>
        <v>8974879780.86</v>
      </c>
      <c r="N51" s="21">
        <f>66095360.98</f>
        <v>66095360.98</v>
      </c>
      <c r="O51" s="21">
        <f>23276437.68</f>
        <v>23276437.68</v>
      </c>
      <c r="P51" s="21">
        <f>14222459.07</f>
        <v>14222459.07</v>
      </c>
      <c r="Q51" s="21">
        <f>9053978.61</f>
        <v>9053978.61</v>
      </c>
    </row>
    <row r="52" spans="1:17" ht="26.25" customHeight="1">
      <c r="A52" s="17" t="s">
        <v>35</v>
      </c>
      <c r="B52" s="22">
        <f>5483077934.59</f>
        <v>5483077934.59</v>
      </c>
      <c r="C52" s="22">
        <f>5481973265.14</f>
        <v>5481973265.14</v>
      </c>
      <c r="D52" s="22">
        <f>77770398.43</f>
        <v>77770398.43</v>
      </c>
      <c r="E52" s="22">
        <f>1873535.71</f>
        <v>1873535.71</v>
      </c>
      <c r="F52" s="22">
        <f>833850.63</f>
        <v>833850.63</v>
      </c>
      <c r="G52" s="22">
        <f>74963612.31</f>
        <v>74963612.31</v>
      </c>
      <c r="H52" s="22">
        <f>99399.78</f>
        <v>99399.78</v>
      </c>
      <c r="I52" s="22">
        <f>0</f>
        <v>0</v>
      </c>
      <c r="J52" s="22">
        <f>729354.96</f>
        <v>729354.96</v>
      </c>
      <c r="K52" s="22">
        <f>816610.51</f>
        <v>816610.51</v>
      </c>
      <c r="L52" s="22">
        <f>704861242.52</f>
        <v>704861242.52</v>
      </c>
      <c r="M52" s="22">
        <f>4667468420.74</f>
        <v>4667468420.74</v>
      </c>
      <c r="N52" s="22">
        <f>30327237.98</f>
        <v>30327237.98</v>
      </c>
      <c r="O52" s="22">
        <f>1104669.45</f>
        <v>1104669.45</v>
      </c>
      <c r="P52" s="22">
        <f>406421.75</f>
        <v>406421.75</v>
      </c>
      <c r="Q52" s="22">
        <f>698247.7</f>
        <v>698247.7</v>
      </c>
    </row>
    <row r="53" spans="1:17" ht="26.25" customHeight="1">
      <c r="A53" s="17" t="s">
        <v>36</v>
      </c>
      <c r="B53" s="22">
        <f>6789390994.62</f>
        <v>6789390994.62</v>
      </c>
      <c r="C53" s="22">
        <f>6767219226.39</f>
        <v>6767219226.39</v>
      </c>
      <c r="D53" s="22">
        <f>296482580.64</f>
        <v>296482580.64</v>
      </c>
      <c r="E53" s="22">
        <f>101233808.23</f>
        <v>101233808.23</v>
      </c>
      <c r="F53" s="22">
        <f>23135946.6</f>
        <v>23135946.6</v>
      </c>
      <c r="G53" s="22">
        <f>169441059.11</f>
        <v>169441059.11</v>
      </c>
      <c r="H53" s="22">
        <f>2671766.7</f>
        <v>2671766.7</v>
      </c>
      <c r="I53" s="22">
        <f>0</f>
        <v>0</v>
      </c>
      <c r="J53" s="22">
        <f>461485.68</f>
        <v>461485.68</v>
      </c>
      <c r="K53" s="22">
        <f>2618143.19</f>
        <v>2618143.19</v>
      </c>
      <c r="L53" s="22">
        <f>2124477533.76</f>
        <v>2124477533.76</v>
      </c>
      <c r="M53" s="22">
        <f>4307411360.12</f>
        <v>4307411360.12</v>
      </c>
      <c r="N53" s="22">
        <f>35768123</f>
        <v>35768123</v>
      </c>
      <c r="O53" s="22">
        <f>22171768.23</f>
        <v>22171768.23</v>
      </c>
      <c r="P53" s="22">
        <f>13816037.32</f>
        <v>13816037.32</v>
      </c>
      <c r="Q53" s="22">
        <f>8355730.91</f>
        <v>8355730.91</v>
      </c>
    </row>
    <row r="54" spans="1:17" ht="26.25" customHeight="1">
      <c r="A54" s="23" t="s">
        <v>44</v>
      </c>
      <c r="B54" s="21">
        <f>6234252958.44</f>
        <v>6234252958.44</v>
      </c>
      <c r="C54" s="21">
        <f>6162888456.94</f>
        <v>6162888456.94</v>
      </c>
      <c r="D54" s="21">
        <f>1170652959.81</f>
        <v>1170652959.81</v>
      </c>
      <c r="E54" s="21">
        <f>804188004.3</f>
        <v>804188004.3</v>
      </c>
      <c r="F54" s="21">
        <f>30061788.65</f>
        <v>30061788.65</v>
      </c>
      <c r="G54" s="21">
        <f>321001780.38</f>
        <v>321001780.38</v>
      </c>
      <c r="H54" s="21">
        <f>15401386.48</f>
        <v>15401386.48</v>
      </c>
      <c r="I54" s="21">
        <f>1033831.39</f>
        <v>1033831.39</v>
      </c>
      <c r="J54" s="21">
        <f>5816476.6</f>
        <v>5816476.6</v>
      </c>
      <c r="K54" s="21">
        <f>4640422</f>
        <v>4640422</v>
      </c>
      <c r="L54" s="21">
        <f>3651996485.77</f>
        <v>3651996485.77</v>
      </c>
      <c r="M54" s="21">
        <f>1227833169.12</f>
        <v>1227833169.12</v>
      </c>
      <c r="N54" s="21">
        <f>100915112.25</f>
        <v>100915112.25</v>
      </c>
      <c r="O54" s="21">
        <f>71364501.5</f>
        <v>71364501.5</v>
      </c>
      <c r="P54" s="21">
        <f>47752556.52</f>
        <v>47752556.52</v>
      </c>
      <c r="Q54" s="21">
        <f>23611944.98</f>
        <v>23611944.98</v>
      </c>
    </row>
    <row r="55" spans="1:17" ht="26.25" customHeight="1">
      <c r="A55" s="17" t="s">
        <v>37</v>
      </c>
      <c r="B55" s="22">
        <f>600491302.67</f>
        <v>600491302.67</v>
      </c>
      <c r="C55" s="22">
        <f>582754010.9</f>
        <v>582754010.9</v>
      </c>
      <c r="D55" s="22">
        <f>41480733.27</f>
        <v>41480733.27</v>
      </c>
      <c r="E55" s="22">
        <f>2495941.1</f>
        <v>2495941.1</v>
      </c>
      <c r="F55" s="22">
        <f>1135042.06</f>
        <v>1135042.06</v>
      </c>
      <c r="G55" s="22">
        <f>37055174.84</f>
        <v>37055174.84</v>
      </c>
      <c r="H55" s="22">
        <f>794575.27</f>
        <v>794575.27</v>
      </c>
      <c r="I55" s="22">
        <f>7002.12</f>
        <v>7002.12</v>
      </c>
      <c r="J55" s="22">
        <f>332285.07</f>
        <v>332285.07</v>
      </c>
      <c r="K55" s="22">
        <f>364326.65</f>
        <v>364326.65</v>
      </c>
      <c r="L55" s="22">
        <f>270623305.06</f>
        <v>270623305.06</v>
      </c>
      <c r="M55" s="22">
        <f>259545081.87</f>
        <v>259545081.87</v>
      </c>
      <c r="N55" s="22">
        <f>10401276.86</f>
        <v>10401276.86</v>
      </c>
      <c r="O55" s="22">
        <f>17737291.77</f>
        <v>17737291.77</v>
      </c>
      <c r="P55" s="22">
        <f>163495.63</f>
        <v>163495.63</v>
      </c>
      <c r="Q55" s="22">
        <f>17573796.14</f>
        <v>17573796.14</v>
      </c>
    </row>
    <row r="56" spans="1:17" ht="36.75" customHeight="1">
      <c r="A56" s="17" t="s">
        <v>38</v>
      </c>
      <c r="B56" s="22">
        <f>2945893489.69</f>
        <v>2945893489.69</v>
      </c>
      <c r="C56" s="22">
        <f>2939491753.04</f>
        <v>2939491753.04</v>
      </c>
      <c r="D56" s="22">
        <f>716094989.92</f>
        <v>716094989.92</v>
      </c>
      <c r="E56" s="22">
        <f>593509291.16</f>
        <v>593509291.16</v>
      </c>
      <c r="F56" s="22">
        <f>21410115.89</f>
        <v>21410115.89</v>
      </c>
      <c r="G56" s="22">
        <f>91445797.85</f>
        <v>91445797.85</v>
      </c>
      <c r="H56" s="22">
        <f>9729785.02</f>
        <v>9729785.02</v>
      </c>
      <c r="I56" s="22">
        <f>969488.57</f>
        <v>969488.57</v>
      </c>
      <c r="J56" s="22">
        <f>4679110.17</f>
        <v>4679110.17</v>
      </c>
      <c r="K56" s="22">
        <f>3937362.47</f>
        <v>3937362.47</v>
      </c>
      <c r="L56" s="22">
        <f>1865428644.83</f>
        <v>1865428644.83</v>
      </c>
      <c r="M56" s="22">
        <f>335861267.79</f>
        <v>335861267.79</v>
      </c>
      <c r="N56" s="22">
        <f>12520889.29</f>
        <v>12520889.29</v>
      </c>
      <c r="O56" s="22">
        <f>6401736.65</f>
        <v>6401736.65</v>
      </c>
      <c r="P56" s="22">
        <f>6178346.05</f>
        <v>6178346.05</v>
      </c>
      <c r="Q56" s="22">
        <f>223390.6</f>
        <v>223390.6</v>
      </c>
    </row>
    <row r="57" spans="1:17" ht="26.25" customHeight="1">
      <c r="A57" s="17" t="s">
        <v>39</v>
      </c>
      <c r="B57" s="22">
        <f>2687868166.08</f>
        <v>2687868166.08</v>
      </c>
      <c r="C57" s="22">
        <f>2640642693</f>
        <v>2640642693</v>
      </c>
      <c r="D57" s="22">
        <f>413077236.62</f>
        <v>413077236.62</v>
      </c>
      <c r="E57" s="22">
        <f>208182772.04</f>
        <v>208182772.04</v>
      </c>
      <c r="F57" s="22">
        <f>7516630.7</f>
        <v>7516630.7</v>
      </c>
      <c r="G57" s="22">
        <f>192500807.69</f>
        <v>192500807.69</v>
      </c>
      <c r="H57" s="22">
        <f>4877026.19</f>
        <v>4877026.19</v>
      </c>
      <c r="I57" s="22">
        <f>57340.7</f>
        <v>57340.7</v>
      </c>
      <c r="J57" s="22">
        <f>805081.36</f>
        <v>805081.36</v>
      </c>
      <c r="K57" s="22">
        <f>338732.88</f>
        <v>338732.88</v>
      </c>
      <c r="L57" s="22">
        <f>1515944535.88</f>
        <v>1515944535.88</v>
      </c>
      <c r="M57" s="22">
        <f>632426819.46</f>
        <v>632426819.46</v>
      </c>
      <c r="N57" s="22">
        <f>77992946.1</f>
        <v>77992946.1</v>
      </c>
      <c r="O57" s="22">
        <f>47225473.08</f>
        <v>47225473.08</v>
      </c>
      <c r="P57" s="22">
        <f>41410714.84</f>
        <v>41410714.84</v>
      </c>
      <c r="Q57" s="22">
        <f>5814758.24</f>
        <v>5814758.24</v>
      </c>
    </row>
    <row r="67" spans="1:13" ht="75" customHeight="1">
      <c r="A67" s="37" t="s">
        <v>78</v>
      </c>
      <c r="B67" s="37"/>
      <c r="C67" s="37"/>
      <c r="D67" s="37"/>
      <c r="E67" s="37"/>
      <c r="F67" s="37"/>
      <c r="G67" s="37"/>
      <c r="H67" s="37"/>
      <c r="I67" s="37"/>
      <c r="J67" s="37"/>
      <c r="K67" s="37"/>
      <c r="L67" s="37"/>
      <c r="M67" s="37"/>
    </row>
    <row r="68" spans="2:13" ht="13.5" customHeight="1">
      <c r="B68" s="47" t="s">
        <v>3</v>
      </c>
      <c r="C68" s="47"/>
      <c r="D68" s="47"/>
      <c r="E68" s="47"/>
      <c r="F68" s="47"/>
      <c r="G68" s="47"/>
      <c r="H68" s="47"/>
      <c r="I68" s="47"/>
      <c r="J68" s="47"/>
      <c r="K68" s="47"/>
      <c r="L68" s="47"/>
      <c r="M68" s="47"/>
    </row>
    <row r="70" spans="2:12" ht="13.5" customHeight="1">
      <c r="B70" s="48" t="s">
        <v>0</v>
      </c>
      <c r="C70" s="49"/>
      <c r="D70" s="49"/>
      <c r="E70" s="50"/>
      <c r="F70" s="69" t="s">
        <v>71</v>
      </c>
      <c r="G70" s="29" t="s">
        <v>70</v>
      </c>
      <c r="H70" s="30"/>
      <c r="I70" s="30"/>
      <c r="J70" s="30"/>
      <c r="K70" s="30"/>
      <c r="L70" s="31"/>
    </row>
    <row r="71" spans="2:12" ht="13.5" customHeight="1">
      <c r="B71" s="51"/>
      <c r="C71" s="52"/>
      <c r="D71" s="52"/>
      <c r="E71" s="53"/>
      <c r="F71" s="70"/>
      <c r="G71" s="72" t="s">
        <v>72</v>
      </c>
      <c r="H71" s="25" t="s">
        <v>68</v>
      </c>
      <c r="I71" s="25" t="s">
        <v>69</v>
      </c>
      <c r="J71" s="25" t="s">
        <v>73</v>
      </c>
      <c r="K71" s="25" t="s">
        <v>74</v>
      </c>
      <c r="L71" s="32" t="s">
        <v>75</v>
      </c>
    </row>
    <row r="72" spans="2:12" ht="13.5" customHeight="1">
      <c r="B72" s="51"/>
      <c r="C72" s="52"/>
      <c r="D72" s="52"/>
      <c r="E72" s="53"/>
      <c r="F72" s="70"/>
      <c r="G72" s="72"/>
      <c r="H72" s="25"/>
      <c r="I72" s="25"/>
      <c r="J72" s="25"/>
      <c r="K72" s="25"/>
      <c r="L72" s="32"/>
    </row>
    <row r="73" spans="2:12" ht="11.25" customHeight="1">
      <c r="B73" s="51"/>
      <c r="C73" s="52"/>
      <c r="D73" s="52"/>
      <c r="E73" s="53"/>
      <c r="F73" s="70"/>
      <c r="G73" s="72"/>
      <c r="H73" s="25"/>
      <c r="I73" s="25"/>
      <c r="J73" s="25"/>
      <c r="K73" s="25"/>
      <c r="L73" s="32"/>
    </row>
    <row r="74" spans="2:12" ht="11.25" customHeight="1">
      <c r="B74" s="54"/>
      <c r="C74" s="55"/>
      <c r="D74" s="55"/>
      <c r="E74" s="56"/>
      <c r="F74" s="71"/>
      <c r="G74" s="72"/>
      <c r="H74" s="25"/>
      <c r="I74" s="25"/>
      <c r="J74" s="25"/>
      <c r="K74" s="25"/>
      <c r="L74" s="32"/>
    </row>
    <row r="75" spans="2:12" ht="11.25" customHeight="1">
      <c r="B75" s="25">
        <v>1</v>
      </c>
      <c r="C75" s="25"/>
      <c r="D75" s="25"/>
      <c r="E75" s="25"/>
      <c r="F75" s="3">
        <v>2</v>
      </c>
      <c r="G75" s="3">
        <v>3</v>
      </c>
      <c r="H75" s="3">
        <v>4</v>
      </c>
      <c r="I75" s="3">
        <v>5</v>
      </c>
      <c r="J75" s="3">
        <v>6</v>
      </c>
      <c r="K75" s="3">
        <v>7</v>
      </c>
      <c r="L75" s="10">
        <v>8</v>
      </c>
    </row>
    <row r="76" spans="2:12" ht="11.25" customHeight="1">
      <c r="B76" s="24"/>
      <c r="C76" s="24"/>
      <c r="D76" s="24"/>
      <c r="E76" s="24"/>
      <c r="F76" s="25" t="s">
        <v>76</v>
      </c>
      <c r="G76" s="25"/>
      <c r="H76" s="25"/>
      <c r="I76" s="25"/>
      <c r="J76" s="25"/>
      <c r="K76" s="25"/>
      <c r="L76" s="25"/>
    </row>
    <row r="77" spans="2:12" ht="47.25" customHeight="1">
      <c r="B77" s="42" t="s">
        <v>55</v>
      </c>
      <c r="C77" s="43"/>
      <c r="D77" s="43"/>
      <c r="E77" s="44"/>
      <c r="F77" s="20">
        <f>1964339668.82</f>
        <v>1964339668.82</v>
      </c>
      <c r="G77" s="20">
        <f>305503202.97</f>
        <v>305503202.97</v>
      </c>
      <c r="H77" s="20">
        <f>19147000</f>
        <v>19147000</v>
      </c>
      <c r="I77" s="20">
        <f>133796102.66</f>
        <v>133796102.66</v>
      </c>
      <c r="J77" s="20">
        <f>152560100.31</f>
        <v>152560100.31</v>
      </c>
      <c r="K77" s="20">
        <f>0</f>
        <v>0</v>
      </c>
      <c r="L77" s="20">
        <f>1658836465.85</f>
        <v>1658836465.85</v>
      </c>
    </row>
    <row r="78" spans="2:12" ht="47.25" customHeight="1">
      <c r="B78" s="42" t="s">
        <v>56</v>
      </c>
      <c r="C78" s="43"/>
      <c r="D78" s="43"/>
      <c r="E78" s="44"/>
      <c r="F78" s="20">
        <f>0</f>
        <v>0</v>
      </c>
      <c r="G78" s="20">
        <f>0</f>
        <v>0</v>
      </c>
      <c r="H78" s="20">
        <f>0</f>
        <v>0</v>
      </c>
      <c r="I78" s="20">
        <f>0</f>
        <v>0</v>
      </c>
      <c r="J78" s="20">
        <f>0</f>
        <v>0</v>
      </c>
      <c r="K78" s="20">
        <f>0</f>
        <v>0</v>
      </c>
      <c r="L78" s="20">
        <f>0</f>
        <v>0</v>
      </c>
    </row>
    <row r="79" spans="2:12" ht="47.25" customHeight="1">
      <c r="B79" s="42" t="s">
        <v>57</v>
      </c>
      <c r="C79" s="43"/>
      <c r="D79" s="43"/>
      <c r="E79" s="44"/>
      <c r="F79" s="20">
        <f>525523834.02</f>
        <v>525523834.02</v>
      </c>
      <c r="G79" s="20">
        <f>2061251</f>
        <v>2061251</v>
      </c>
      <c r="H79" s="20">
        <f>0</f>
        <v>0</v>
      </c>
      <c r="I79" s="20">
        <f>921251</f>
        <v>921251</v>
      </c>
      <c r="J79" s="20">
        <f>1140000</f>
        <v>1140000</v>
      </c>
      <c r="K79" s="20">
        <f>0</f>
        <v>0</v>
      </c>
      <c r="L79" s="20">
        <f>523462583.02</f>
        <v>523462583.02</v>
      </c>
    </row>
    <row r="80" spans="2:12" ht="47.25" customHeight="1">
      <c r="B80" s="42" t="s">
        <v>58</v>
      </c>
      <c r="C80" s="43"/>
      <c r="D80" s="43"/>
      <c r="E80" s="44"/>
      <c r="F80" s="20">
        <f>6158360.31</f>
        <v>6158360.31</v>
      </c>
      <c r="G80" s="20">
        <f>58360.31</f>
        <v>58360.31</v>
      </c>
      <c r="H80" s="20">
        <f>0</f>
        <v>0</v>
      </c>
      <c r="I80" s="20">
        <f>0</f>
        <v>0</v>
      </c>
      <c r="J80" s="20">
        <f>58360.31</f>
        <v>58360.31</v>
      </c>
      <c r="K80" s="20">
        <f>0</f>
        <v>0</v>
      </c>
      <c r="L80" s="20">
        <f>6100000</f>
        <v>6100000</v>
      </c>
    </row>
    <row r="81" spans="2:12" ht="47.25" customHeight="1">
      <c r="B81" s="42" t="s">
        <v>59</v>
      </c>
      <c r="C81" s="43"/>
      <c r="D81" s="43"/>
      <c r="E81" s="44"/>
      <c r="F81" s="20">
        <f>156139.56</f>
        <v>156139.56</v>
      </c>
      <c r="G81" s="20">
        <f>8238.19</f>
        <v>8238.19</v>
      </c>
      <c r="H81" s="20">
        <f>0</f>
        <v>0</v>
      </c>
      <c r="I81" s="20">
        <f>0</f>
        <v>0</v>
      </c>
      <c r="J81" s="20">
        <f>8238.19</f>
        <v>8238.19</v>
      </c>
      <c r="K81" s="20">
        <f>0</f>
        <v>0</v>
      </c>
      <c r="L81" s="20">
        <f>147901.37</f>
        <v>147901.37</v>
      </c>
    </row>
    <row r="82" spans="2:12" ht="47.25" customHeight="1">
      <c r="B82" s="42" t="s">
        <v>60</v>
      </c>
      <c r="C82" s="43"/>
      <c r="D82" s="43"/>
      <c r="E82" s="44"/>
      <c r="F82" s="20">
        <f>3977253.29</f>
        <v>3977253.29</v>
      </c>
      <c r="G82" s="20">
        <f>1433639.38</f>
        <v>1433639.38</v>
      </c>
      <c r="H82" s="20">
        <f>0</f>
        <v>0</v>
      </c>
      <c r="I82" s="20">
        <f>0</f>
        <v>0</v>
      </c>
      <c r="J82" s="20">
        <f>1433639.38</f>
        <v>1433639.38</v>
      </c>
      <c r="K82" s="20">
        <f>0</f>
        <v>0</v>
      </c>
      <c r="L82" s="20">
        <f>2543613.91</f>
        <v>2543613.91</v>
      </c>
    </row>
    <row r="83" spans="2:12" ht="47.25" customHeight="1">
      <c r="B83" s="42" t="s">
        <v>61</v>
      </c>
      <c r="C83" s="43"/>
      <c r="D83" s="43"/>
      <c r="E83" s="44"/>
      <c r="F83" s="20">
        <f>636636.4</f>
        <v>636636.4</v>
      </c>
      <c r="G83" s="20">
        <f>0</f>
        <v>0</v>
      </c>
      <c r="H83" s="20">
        <f>0</f>
        <v>0</v>
      </c>
      <c r="I83" s="20">
        <f>0</f>
        <v>0</v>
      </c>
      <c r="J83" s="20">
        <f>0</f>
        <v>0</v>
      </c>
      <c r="K83" s="20">
        <f>0</f>
        <v>0</v>
      </c>
      <c r="L83" s="20">
        <f>636636.4</f>
        <v>636636.4</v>
      </c>
    </row>
    <row r="86" spans="1:13" ht="75" customHeight="1">
      <c r="A86" s="37" t="s">
        <v>78</v>
      </c>
      <c r="B86" s="37"/>
      <c r="C86" s="37"/>
      <c r="D86" s="37"/>
      <c r="E86" s="37"/>
      <c r="F86" s="37"/>
      <c r="G86" s="37"/>
      <c r="H86" s="37"/>
      <c r="I86" s="37"/>
      <c r="J86" s="37"/>
      <c r="K86" s="37"/>
      <c r="L86" s="37"/>
      <c r="M86" s="37"/>
    </row>
    <row r="87" ht="13.5" customHeight="1">
      <c r="B87" s="4"/>
    </row>
    <row r="88" spans="2:11" ht="13.5" customHeight="1">
      <c r="B88" s="5"/>
      <c r="C88" s="29"/>
      <c r="D88" s="30"/>
      <c r="E88" s="30"/>
      <c r="F88" s="31"/>
      <c r="G88" s="29" t="s">
        <v>4</v>
      </c>
      <c r="H88" s="31"/>
      <c r="I88" s="29" t="s">
        <v>5</v>
      </c>
      <c r="J88" s="31"/>
      <c r="K88" s="5"/>
    </row>
    <row r="89" spans="2:11" ht="13.5" customHeight="1">
      <c r="B89" s="6"/>
      <c r="C89" s="42" t="s">
        <v>6</v>
      </c>
      <c r="D89" s="43"/>
      <c r="E89" s="43"/>
      <c r="F89" s="44"/>
      <c r="G89" s="60">
        <f>58</f>
        <v>58</v>
      </c>
      <c r="H89" s="61"/>
      <c r="I89" s="45">
        <f>2628526650.19</f>
        <v>2628526650.19</v>
      </c>
      <c r="J89" s="46"/>
      <c r="K89" s="7"/>
    </row>
    <row r="90" spans="2:11" ht="13.5" customHeight="1">
      <c r="B90" s="6"/>
      <c r="C90" s="57" t="s">
        <v>7</v>
      </c>
      <c r="D90" s="58"/>
      <c r="E90" s="58"/>
      <c r="F90" s="59"/>
      <c r="G90" s="62">
        <f>8</f>
        <v>8</v>
      </c>
      <c r="H90" s="63"/>
      <c r="I90" s="64">
        <f>-367431012.12</f>
        <v>-367431012.12</v>
      </c>
      <c r="J90" s="65"/>
      <c r="K90" s="7"/>
    </row>
    <row r="91" spans="2:11" ht="13.5" customHeight="1">
      <c r="B91" s="6"/>
      <c r="C91" s="42" t="s">
        <v>8</v>
      </c>
      <c r="D91" s="43"/>
      <c r="E91" s="43"/>
      <c r="F91" s="44"/>
      <c r="G91" s="60">
        <f>0</f>
        <v>0</v>
      </c>
      <c r="H91" s="61"/>
      <c r="I91" s="45">
        <f>0</f>
        <v>0</v>
      </c>
      <c r="J91" s="46"/>
      <c r="K91" s="7"/>
    </row>
  </sheetData>
  <sheetProtection/>
  <mergeCells count="79">
    <mergeCell ref="A34:A37"/>
    <mergeCell ref="C35:C37"/>
    <mergeCell ref="E35:E37"/>
    <mergeCell ref="K71:K74"/>
    <mergeCell ref="F35:F37"/>
    <mergeCell ref="G35:G37"/>
    <mergeCell ref="H35:H37"/>
    <mergeCell ref="K35:K37"/>
    <mergeCell ref="I35:I37"/>
    <mergeCell ref="J35:J37"/>
    <mergeCell ref="Q7:Q10"/>
    <mergeCell ref="C34:N34"/>
    <mergeCell ref="L7:L10"/>
    <mergeCell ref="M7:M10"/>
    <mergeCell ref="N7:N10"/>
    <mergeCell ref="P7:P10"/>
    <mergeCell ref="A30:M30"/>
    <mergeCell ref="O34:Q34"/>
    <mergeCell ref="A32:M32"/>
    <mergeCell ref="B34:B37"/>
    <mergeCell ref="A1:M1"/>
    <mergeCell ref="C5:M5"/>
    <mergeCell ref="A3:M3"/>
    <mergeCell ref="K7:K10"/>
    <mergeCell ref="C7:C10"/>
    <mergeCell ref="B6:B10"/>
    <mergeCell ref="F70:F74"/>
    <mergeCell ref="G71:G74"/>
    <mergeCell ref="G7:G10"/>
    <mergeCell ref="F7:F10"/>
    <mergeCell ref="I7:I10"/>
    <mergeCell ref="J7:J10"/>
    <mergeCell ref="I91:J91"/>
    <mergeCell ref="I90:J90"/>
    <mergeCell ref="A6:A10"/>
    <mergeCell ref="C6:N6"/>
    <mergeCell ref="D7:D10"/>
    <mergeCell ref="E7:E10"/>
    <mergeCell ref="B81:E81"/>
    <mergeCell ref="B78:E78"/>
    <mergeCell ref="M35:M37"/>
    <mergeCell ref="B77:E77"/>
    <mergeCell ref="C89:F89"/>
    <mergeCell ref="C90:F90"/>
    <mergeCell ref="C91:F91"/>
    <mergeCell ref="G89:H89"/>
    <mergeCell ref="G88:H88"/>
    <mergeCell ref="G90:H90"/>
    <mergeCell ref="G91:H91"/>
    <mergeCell ref="I89:J89"/>
    <mergeCell ref="B68:M68"/>
    <mergeCell ref="I88:J88"/>
    <mergeCell ref="B75:E75"/>
    <mergeCell ref="B70:E74"/>
    <mergeCell ref="B83:E83"/>
    <mergeCell ref="A86:M86"/>
    <mergeCell ref="B79:E79"/>
    <mergeCell ref="B80:E80"/>
    <mergeCell ref="C88:F88"/>
    <mergeCell ref="Q35:Q37"/>
    <mergeCell ref="N35:N37"/>
    <mergeCell ref="O35:O37"/>
    <mergeCell ref="D35:D37"/>
    <mergeCell ref="H7:H10"/>
    <mergeCell ref="B82:E82"/>
    <mergeCell ref="G70:L70"/>
    <mergeCell ref="H71:H74"/>
    <mergeCell ref="I71:I74"/>
    <mergeCell ref="J71:J74"/>
    <mergeCell ref="B76:E76"/>
    <mergeCell ref="F76:L76"/>
    <mergeCell ref="B12:Q12"/>
    <mergeCell ref="B39:Q39"/>
    <mergeCell ref="L71:L74"/>
    <mergeCell ref="O6:Q6"/>
    <mergeCell ref="O7:O10"/>
    <mergeCell ref="A67:M67"/>
    <mergeCell ref="L35:L37"/>
    <mergeCell ref="P35:P37"/>
  </mergeCells>
  <printOptions/>
  <pageMargins left="0.1968503937007874" right="0.1968503937007874" top="0.1968503937007874" bottom="0.1968503937007874" header="0" footer="0"/>
  <pageSetup firstPageNumber="1" useFirstPageNumber="1" horizontalDpi="300" verticalDpi="300" orientation="landscape" paperSize="9" scale="69" r:id="rId1"/>
  <headerFooter alignWithMargins="0">
    <oddFooter>&amp;L&amp;D&amp;Rstrona &amp;P z 3</oddFooter>
  </headerFooter>
  <rowBreaks count="2" manualBreakCount="2">
    <brk id="29" max="255" man="1"/>
    <brk id="6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2016-08-26T11:41:03Z</cp:lastPrinted>
  <dcterms:created xsi:type="dcterms:W3CDTF">2001-05-17T08:58:03Z</dcterms:created>
  <dcterms:modified xsi:type="dcterms:W3CDTF">2020-11-27T08:19:20Z</dcterms:modified>
  <cp:category/>
  <cp:version/>
  <cp:contentType/>
  <cp:contentStatus/>
</cp:coreProperties>
</file>