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akoniecz\Desktop\Desktop\FM\sprawozdania z FM\sprawozdanie 2025\sprawozdanie na stronę\"/>
    </mc:Choice>
  </mc:AlternateContent>
  <xr:revisionPtr revIDLastSave="0" documentId="8_{405F8CA4-B036-4F24-951F-11A43A917B01}" xr6:coauthVersionLast="47" xr6:coauthVersionMax="47" xr10:uidLastSave="{00000000-0000-0000-0000-000000000000}"/>
  <bookViews>
    <workbookView xWindow="-110" yWindow="-110" windowWidth="19420" windowHeight="10300" activeTab="1" xr2:uid="{00000000-000D-0000-FFFF-FFFF00000000}"/>
  </bookViews>
  <sheets>
    <sheet name="Introduction" sheetId="3" r:id="rId1"/>
    <sheet name="Annual Report" sheetId="19" r:id="rId2"/>
    <sheet name="Overview Planned Investments" sheetId="18" r:id="rId3"/>
    <sheet name="Dropdown Menu" sheetId="6" r:id="rId4"/>
  </sheets>
  <definedNames>
    <definedName name="_xlnm._FilterDatabase" localSheetId="1" hidden="1">'Annual Report'!$A$6:$AT$6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6" i="19" l="1"/>
  <c r="W35" i="19" l="1"/>
  <c r="W34" i="19"/>
  <c r="W33" i="19"/>
  <c r="W32" i="19"/>
  <c r="W31" i="19"/>
  <c r="W30" i="19"/>
  <c r="W29" i="19"/>
  <c r="W28" i="19"/>
  <c r="W27" i="19"/>
  <c r="W26" i="19"/>
  <c r="W25" i="19"/>
  <c r="W24" i="19"/>
  <c r="W23" i="19"/>
  <c r="W22" i="19"/>
  <c r="W21" i="19"/>
  <c r="W20" i="19"/>
  <c r="W19" i="19"/>
  <c r="W18" i="19"/>
  <c r="W17" i="19"/>
  <c r="W16" i="19"/>
  <c r="W15" i="19"/>
  <c r="W14" i="19"/>
  <c r="W13" i="19"/>
  <c r="W12" i="19"/>
  <c r="W11" i="19"/>
  <c r="W10" i="19"/>
  <c r="W9" i="19"/>
  <c r="W8" i="19"/>
  <c r="W7" i="19"/>
  <c r="W6" i="19"/>
  <c r="U35" i="19"/>
  <c r="U34" i="19"/>
  <c r="U33" i="19"/>
  <c r="U32" i="19"/>
  <c r="U31" i="19"/>
  <c r="U30" i="19"/>
  <c r="U29" i="19"/>
  <c r="U28" i="19"/>
  <c r="U27" i="19"/>
  <c r="U26" i="19"/>
  <c r="U25" i="19"/>
  <c r="U24" i="19"/>
  <c r="U23" i="19"/>
  <c r="U22" i="19"/>
  <c r="U21" i="19"/>
  <c r="U20" i="19"/>
  <c r="U19" i="19"/>
  <c r="U18" i="19"/>
  <c r="U17" i="19"/>
  <c r="U16" i="19"/>
  <c r="U15" i="19"/>
  <c r="U14" i="19"/>
  <c r="U13" i="19"/>
  <c r="U11" i="19"/>
  <c r="Z8" i="19"/>
  <c r="U12" i="19"/>
  <c r="U10" i="19"/>
  <c r="U9" i="19"/>
  <c r="U8" i="19"/>
  <c r="U7" i="19"/>
  <c r="U6" i="19"/>
  <c r="R24" i="19"/>
  <c r="S18" i="19"/>
  <c r="S16" i="19"/>
  <c r="Z31" i="19"/>
  <c r="Z26" i="19"/>
  <c r="Z24" i="19"/>
  <c r="Z20" i="19"/>
  <c r="Z13" i="19"/>
  <c r="Z12" i="19"/>
  <c r="Z9" i="19"/>
  <c r="Z7" i="19"/>
  <c r="Z6" i="19"/>
  <c r="R14" i="19"/>
  <c r="S12" i="19"/>
  <c r="R11" i="19"/>
  <c r="R9" i="19"/>
  <c r="R8" i="19"/>
  <c r="P35" i="19"/>
  <c r="P34" i="19"/>
  <c r="R7" i="19"/>
  <c r="O31" i="19"/>
  <c r="O30" i="19"/>
  <c r="O29" i="19"/>
  <c r="O28" i="19"/>
  <c r="P20" i="19"/>
  <c r="P26" i="19"/>
  <c r="O25" i="19"/>
  <c r="O24" i="19"/>
  <c r="O23" i="19"/>
  <c r="O22" i="19"/>
  <c r="O21" i="19"/>
  <c r="O19" i="19"/>
  <c r="O18" i="19"/>
  <c r="O15" i="19"/>
  <c r="O17" i="19"/>
  <c r="O14" i="19"/>
  <c r="O13" i="19"/>
  <c r="O12" i="19"/>
  <c r="O11" i="19"/>
  <c r="P10" i="19"/>
  <c r="O10" i="19" s="1"/>
  <c r="O9" i="19"/>
  <c r="O8" i="19"/>
  <c r="O7" i="19"/>
  <c r="O33" i="19"/>
  <c r="AD13" i="19"/>
  <c r="AD21" i="19"/>
  <c r="AD22" i="19"/>
  <c r="AD23" i="19"/>
  <c r="AD24" i="19"/>
  <c r="AD26" i="19"/>
  <c r="AD28" i="19"/>
  <c r="AD31" i="19"/>
  <c r="AD33" i="19"/>
  <c r="AD34" i="19"/>
  <c r="AD12" i="19"/>
  <c r="AD11" i="19"/>
  <c r="AD10" i="19"/>
  <c r="AD9" i="19"/>
  <c r="O6" i="19"/>
  <c r="AI6" i="19" s="1"/>
  <c r="AD6" i="19"/>
  <c r="R5" i="6"/>
  <c r="R6" i="6"/>
  <c r="R7" i="6"/>
  <c r="R8" i="6"/>
  <c r="R9" i="6"/>
  <c r="R10" i="6"/>
  <c r="R11" i="6"/>
  <c r="R12" i="6"/>
  <c r="R13" i="6"/>
  <c r="R14" i="6"/>
  <c r="R15" i="6"/>
  <c r="R16" i="6"/>
  <c r="R17" i="6"/>
  <c r="R18" i="6"/>
  <c r="R19" i="6"/>
  <c r="R20" i="6"/>
  <c r="R21" i="6"/>
  <c r="R22" i="6"/>
  <c r="R23" i="6"/>
  <c r="R24" i="6"/>
  <c r="R25" i="6"/>
  <c r="R26" i="6"/>
  <c r="R27" i="6"/>
  <c r="R28" i="6"/>
  <c r="R4" i="6"/>
  <c r="AI30" i="19" l="1"/>
  <c r="AJ30" i="19"/>
  <c r="AK30" i="19"/>
  <c r="AL30" i="19"/>
  <c r="AI31" i="19"/>
  <c r="AJ31" i="19"/>
  <c r="AK31" i="19"/>
  <c r="AL31" i="19"/>
  <c r="AI32" i="19"/>
  <c r="AJ32" i="19"/>
  <c r="AK32" i="19"/>
  <c r="AL32" i="19"/>
  <c r="AI33" i="19"/>
  <c r="AJ33" i="19"/>
  <c r="AK33" i="19"/>
  <c r="AL33" i="19"/>
  <c r="AI34" i="19"/>
  <c r="AJ34" i="19"/>
  <c r="AK34" i="19"/>
  <c r="AL34" i="19"/>
  <c r="AI35" i="19"/>
  <c r="AJ35" i="19"/>
  <c r="AK35" i="19"/>
  <c r="AL35" i="19"/>
  <c r="AJ20" i="19"/>
  <c r="AJ6" i="19"/>
  <c r="AK6" i="19"/>
  <c r="G12" i="3"/>
  <c r="C24" i="3"/>
  <c r="AK7" i="19" l="1"/>
  <c r="AL7" i="19"/>
  <c r="AK8" i="19"/>
  <c r="AL8" i="19"/>
  <c r="AK9" i="19"/>
  <c r="AL9" i="19"/>
  <c r="AK10" i="19"/>
  <c r="AL10" i="19"/>
  <c r="AK11" i="19"/>
  <c r="AL11" i="19"/>
  <c r="AK12" i="19"/>
  <c r="AL12" i="19"/>
  <c r="AK13" i="19"/>
  <c r="AL13" i="19"/>
  <c r="AK14" i="19"/>
  <c r="AL14" i="19"/>
  <c r="AK15" i="19"/>
  <c r="AL15" i="19"/>
  <c r="AK16" i="19"/>
  <c r="AL16" i="19"/>
  <c r="AK17" i="19"/>
  <c r="AL17" i="19"/>
  <c r="AK18" i="19"/>
  <c r="AL18" i="19"/>
  <c r="AK19" i="19"/>
  <c r="AL19" i="19"/>
  <c r="AK20" i="19"/>
  <c r="AL20" i="19"/>
  <c r="AK21" i="19"/>
  <c r="AL21" i="19"/>
  <c r="AK22" i="19"/>
  <c r="AL22" i="19"/>
  <c r="AK23" i="19"/>
  <c r="AL23" i="19"/>
  <c r="AK24" i="19"/>
  <c r="AL24" i="19"/>
  <c r="AK25" i="19"/>
  <c r="AL25" i="19"/>
  <c r="AK26" i="19"/>
  <c r="AL26" i="19"/>
  <c r="AK27" i="19"/>
  <c r="AL27" i="19"/>
  <c r="AK28" i="19"/>
  <c r="AL28" i="19"/>
  <c r="AK29" i="19"/>
  <c r="AL29" i="19"/>
  <c r="AI18" i="19"/>
  <c r="AJ18" i="19"/>
  <c r="AI19" i="19"/>
  <c r="AJ19" i="19"/>
  <c r="AI20" i="19"/>
  <c r="AI21" i="19"/>
  <c r="AJ21" i="19"/>
  <c r="AI22" i="19"/>
  <c r="AJ22" i="19"/>
  <c r="AI23" i="19"/>
  <c r="AJ23" i="19"/>
  <c r="AI24" i="19"/>
  <c r="AJ24" i="19"/>
  <c r="AI25" i="19"/>
  <c r="AJ25" i="19"/>
  <c r="E24" i="3"/>
  <c r="D24" i="3"/>
  <c r="H13" i="3"/>
  <c r="F13" i="3" a="1"/>
  <c r="F13" i="3" s="1"/>
  <c r="G15" i="3" a="1"/>
  <c r="G15" i="3" s="1"/>
  <c r="G13" i="3" a="1"/>
  <c r="G13" i="3" s="1"/>
  <c r="F15" i="3" a="1"/>
  <c r="F15" i="3" s="1"/>
  <c r="H15" i="3"/>
  <c r="I13" i="3"/>
  <c r="I15" i="3"/>
  <c r="F14" i="3"/>
  <c r="F12" i="3"/>
  <c r="E15" i="3" l="1"/>
  <c r="E13" i="3"/>
  <c r="G14" i="3"/>
  <c r="I14" i="3"/>
  <c r="I12" i="3"/>
  <c r="H12" i="3"/>
  <c r="H14" i="3"/>
  <c r="AJ7" i="19"/>
  <c r="AJ8" i="19"/>
  <c r="AJ9" i="19"/>
  <c r="AJ10" i="19"/>
  <c r="AJ11" i="19"/>
  <c r="AJ12" i="19"/>
  <c r="AJ13" i="19"/>
  <c r="AJ14" i="19"/>
  <c r="AJ15" i="19"/>
  <c r="AJ16" i="19"/>
  <c r="AJ17" i="19"/>
  <c r="AJ26" i="19"/>
  <c r="AJ27" i="19"/>
  <c r="AJ28" i="19"/>
  <c r="AJ29" i="19"/>
  <c r="AI7" i="19"/>
  <c r="AI8" i="19"/>
  <c r="AI9" i="19"/>
  <c r="AI10" i="19"/>
  <c r="AI11" i="19"/>
  <c r="AI12" i="19"/>
  <c r="AI13" i="19"/>
  <c r="AI14" i="19"/>
  <c r="AI15" i="19"/>
  <c r="AI16" i="19"/>
  <c r="AI17" i="19"/>
  <c r="AI26" i="19"/>
  <c r="AI27" i="19"/>
  <c r="AI28" i="19"/>
  <c r="AI29" i="19"/>
  <c r="E14" i="3" l="1"/>
  <c r="E12"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<sst xmlns="http://schemas.openxmlformats.org/spreadsheetml/2006/main" count="990" uniqueCount="367">
  <si>
    <t>Modernisation Fund Annual Report Template</t>
  </si>
  <si>
    <t>Introduction to the Excel-tool "Modernisation_Fund_Annual_Report_Template.xlsx"</t>
  </si>
  <si>
    <t xml:space="preserve">
The "Modernisation_Fund_Annual_Report_Template.xlsx" is a resource drafted by the European Commission, Directorate-General for Climate Action, designed to streamline the data submission process for the annual reports of beneficiary Member States. </t>
  </si>
  <si>
    <t>Article 13 of  the Commission Implementing Regulation (EU) 2020/1001 provides that beneficiary Member States shall monitor the implementation of investments financed from the Modernisation Fund and submit to the Commission their annual report for the preceding year containing information specified in Annex II of the Implementing Regulation (EU) 2020/1001. The annual report shall be be accompanied by an overview of the investments in respect of which the beneficiary Member State intends to submit investment proposals in the next two calendar years, with an outlook until 2030, as well as by updated information on investments covered by any previous overview. The relevant stakeholders should be consulted on the draft overview of the planned investments.</t>
  </si>
  <si>
    <r>
      <rPr>
        <u/>
        <sz val="11"/>
        <color rgb="FF000000"/>
        <rFont val="Calibri"/>
        <family val="2"/>
        <scheme val="minor"/>
      </rPr>
      <t xml:space="preserve">This template for annual reports provides 3 worksheets:
</t>
    </r>
    <r>
      <rPr>
        <sz val="11"/>
        <color rgb="FF000000"/>
        <rFont val="Calibri"/>
        <family val="2"/>
        <scheme val="minor"/>
      </rPr>
      <t xml:space="preserve">
1. The worksheet labeled</t>
    </r>
    <r>
      <rPr>
        <i/>
        <sz val="11"/>
        <color rgb="FF000000"/>
        <rFont val="Calibri"/>
        <family val="2"/>
        <scheme val="minor"/>
      </rPr>
      <t xml:space="preserve"> </t>
    </r>
    <r>
      <rPr>
        <b/>
        <i/>
        <sz val="11"/>
        <color rgb="FF000000"/>
        <rFont val="Calibri"/>
        <family val="2"/>
        <scheme val="minor"/>
      </rPr>
      <t>'Introduction'</t>
    </r>
    <r>
      <rPr>
        <sz val="11"/>
        <color rgb="FF000000"/>
        <rFont val="Calibri"/>
        <family val="2"/>
        <scheme val="minor"/>
      </rPr>
      <t xml:space="preserve"> offers an explanation of the template. It contains a dropdown menu that allows you to configure the template according to the beneficary member state and the corresponding year of the annual report. It also includes an overview of the approved investments.
</t>
    </r>
  </si>
  <si>
    <r>
      <t>2. In the worksheet named</t>
    </r>
    <r>
      <rPr>
        <b/>
        <i/>
        <sz val="11"/>
        <color rgb="FF000000"/>
        <rFont val="Calibri"/>
        <family val="2"/>
        <scheme val="minor"/>
      </rPr>
      <t xml:space="preserve"> 'Annual Report'</t>
    </r>
    <r>
      <rPr>
        <sz val="11"/>
        <color rgb="FF000000"/>
        <rFont val="Calibri"/>
        <family val="2"/>
        <scheme val="minor"/>
      </rPr>
      <t xml:space="preserve"> you will find a request for information according to Annex II of the Implementing Regulation (EU) 2020/1001. The requested information is categorised into 6 categories. Please follow the instructions to fill this in.
</t>
    </r>
  </si>
  <si>
    <r>
      <rPr>
        <sz val="11"/>
        <color rgb="FF000000"/>
        <rFont val="Calibri"/>
        <family val="2"/>
        <scheme val="minor"/>
      </rPr>
      <t xml:space="preserve">3. The worksheet titled </t>
    </r>
    <r>
      <rPr>
        <b/>
        <i/>
        <sz val="11"/>
        <color rgb="FF000000"/>
        <rFont val="Calibri"/>
        <family val="2"/>
        <scheme val="minor"/>
      </rPr>
      <t>'Overview Planned Investments'</t>
    </r>
    <r>
      <rPr>
        <sz val="11"/>
        <color rgb="FF000000"/>
        <rFont val="Calibri"/>
        <family val="2"/>
        <scheme val="minor"/>
      </rPr>
      <t xml:space="preserve"> requires supplementary details according to </t>
    </r>
    <r>
      <rPr>
        <b/>
        <sz val="11"/>
        <color rgb="FF000000"/>
        <rFont val="Calibri"/>
        <family val="2"/>
        <scheme val="minor"/>
      </rPr>
      <t>Annex III of the Implementing Regulation (EU) 2020/1001</t>
    </r>
    <r>
      <rPr>
        <sz val="11"/>
        <color rgb="FF000000"/>
        <rFont val="Calibri"/>
        <family val="2"/>
        <scheme val="minor"/>
      </rPr>
      <t xml:space="preserve"> and </t>
    </r>
    <r>
      <rPr>
        <i/>
        <sz val="11"/>
        <color rgb="FF000000"/>
        <rFont val="Calibri"/>
        <family val="2"/>
        <scheme val="minor"/>
      </rPr>
      <t>'shall be accompanied by an overview of the investments in respect of which the beneficiary Member State intends to submit investment proposals in the next two calendar years, with an outlook until 2030, as well as by updated information on investments covered by any previous overview.'</t>
    </r>
  </si>
  <si>
    <t>OVERVIEW OF APPROVED INVESTMENTS</t>
  </si>
  <si>
    <t>Investments supported
 (ongoing+completed+partially discontinued+fully discontinued)</t>
  </si>
  <si>
    <t>Ongoing investments</t>
  </si>
  <si>
    <t>Completed investments (or entered into operations)</t>
  </si>
  <si>
    <t>Partially discontinued investments</t>
  </si>
  <si>
    <t>Discontinued investments</t>
  </si>
  <si>
    <t>Priority investments</t>
  </si>
  <si>
    <t>Number</t>
  </si>
  <si>
    <t>Total confirmed/recommended support from the Modernisation Fund for the investment in EUR</t>
  </si>
  <si>
    <t>Non-priority investments</t>
  </si>
  <si>
    <t xml:space="preserve">We welcome any improvement suggestions for the tool from the beneficiary Member States. Please feel free to contact via the following email addresses:                                                                                        </t>
  </si>
  <si>
    <t xml:space="preserve">INSTRUCTIONS:
In order to guarantee that all beneficiary Member States provide comparable reporting, the following methodological instructions should be followed:
- Make sure to list all the investments approved by the EIB/Investment Committee until the cut-off date and include the subsequent disbursements in the separate dedicated column. 
- Please indicate in column J whether an investments was discontinued, partlially discontinued or modified. Subsequently, please adapt all the other inputs and especially the indicators covered by the 'Contribution to Green Deal Objectives'. For discontinued investments, the indicators (including budget) should be set to zero. 
- Location of the investment (for schemes, provide locations of all investments funded) - please provide the more precise location, not just the Member State.
- Total confirmed/recommended support from the Modernisation Fund for the investment in EUR refers to the Modernisation Fund support covered by a Disbursement Decision, that EIB disbursed to the beneficiery MS by the cut-off date.
- GHG emissions saved (expected cumulative amount by the end of the investment lifetime) - please make sure that the estimation refers to investment lifetime and not annual emissions saved, as you present with the MF applications.     
- Column Abatement costs in EUR/tCO2 (if applicable given the nature of the investment) - by 31 December of the year preceding report submission) should be calculated both at the level of total investment costs but also at the level of planned MF support. The calculation formulas should be shown in the cells.
- Column Abatement costs in EUR/tCO2 (if applicable given the nature of the investment) - expected cumulative amount by the end of the investment lifetime, should be calculated both at the level of total investment costs but also at the level of planned MF support. The calculation formula should be shown in the cells. </t>
  </si>
  <si>
    <t>CLIMA-MODFUND@ec.europa.eu</t>
  </si>
  <si>
    <t xml:space="preserve">copying EIB (European Investment Bank): </t>
  </si>
  <si>
    <t xml:space="preserve">Modernisation-fund@eib.org  </t>
  </si>
  <si>
    <t xml:space="preserve">Year of Annual Report: </t>
  </si>
  <si>
    <t xml:space="preserve">Beneficary Member State (Dropdown Menu): </t>
  </si>
  <si>
    <t>Poland</t>
  </si>
  <si>
    <t>should we already add the new bMS?</t>
  </si>
  <si>
    <t>Share of priority investements compared to all investment</t>
  </si>
  <si>
    <t>Article 10(1), 
third subparagraph – (2%) 
(min 80% priority investments)</t>
  </si>
  <si>
    <t>Article 10(1), 
fourth subparagraph -
(2.5%)
(min 90% priority investments)</t>
  </si>
  <si>
    <t>Article 10d(4) -
(Transfers)
(min 80% priority investment)</t>
  </si>
  <si>
    <t xml:space="preserve">Ratios </t>
  </si>
  <si>
    <t xml:space="preserve">  </t>
  </si>
  <si>
    <t>Priority or non-riority</t>
  </si>
  <si>
    <t>Type of investment</t>
  </si>
  <si>
    <t>Link to national legal basis for the scheme (not applicable to projects)</t>
  </si>
  <si>
    <t xml:space="preserve">Final beneficiary of the support (in case of schemes, please list the final beneficiaries that have been awarded support to date) </t>
  </si>
  <si>
    <t>Type of end beneficiary</t>
  </si>
  <si>
    <t>Location of the investment (for schemes, provide locations of all investments funded)</t>
  </si>
  <si>
    <t>MF 2021-1 PL 0-004</t>
  </si>
  <si>
    <t>Priority</t>
  </si>
  <si>
    <t>Scheme</t>
  </si>
  <si>
    <t>Unchanged compared to initial application</t>
  </si>
  <si>
    <t>Ongoing: construction phase</t>
  </si>
  <si>
    <t>Partial grants (less than 50%) of total invesments costs</t>
  </si>
  <si>
    <t>No State aid</t>
  </si>
  <si>
    <t>https://www.gov.pl/web/funduszmodernizacyjny/podstawy-prawne Program Priorytetowe w ramach środków z Funduszu Modernizacyjnego - Fundusz Modernizacyjny - Portal Gov.pl (www.gov.pl)</t>
  </si>
  <si>
    <t>Final beneficiaries up to date:
- Polczynskie Przedsiebiorstwo Komunalne sp. z o.o.
- Gmina Łomianki
- Gmina Miasto Szczecin
-  Gminia i Miasto Odolanów 
- Aqua Cedry Sp. z o.o.
- Miasto Łódź</t>
  </si>
  <si>
    <t>Podmioty mieszane lub publiczno-prywatne - odbiorcy energii - przemysł (Mix or public and private entities - energy consumers - industry)</t>
  </si>
  <si>
    <t>2023-07-21
2025-04-30
2025-04-30
2025-04-29
2025-04-30
2025-04-30</t>
  </si>
  <si>
    <t>n/a</t>
  </si>
  <si>
    <t>MF 2021-1 PL 0-003</t>
  </si>
  <si>
    <t>MF 2022-2 PL 0-001</t>
  </si>
  <si>
    <t>Large-scale scheme</t>
  </si>
  <si>
    <t>100% grants</t>
  </si>
  <si>
    <t>Final beneficiaries up to date:
- Stoen Operator; 
- Energa Operator; 
- PGE Dystrybucja;
- TAURON Dystrybucja S.A.;
- ENEA Operator Sp. z o.o.</t>
  </si>
  <si>
    <t>Podmiot publiczny - dystrybucja i sieci (Public entity - distribution and networks)</t>
  </si>
  <si>
    <t>27.07.2023
04.09.2023
13.10.2023
10.07.2024
28.08.2024
09.09.2024
09.09.2024
09.12.2024
23.12.2025
19.12.2025</t>
  </si>
  <si>
    <t>MF 2021-1 PL 0-006</t>
  </si>
  <si>
    <t>MF 2023-2 PL 0-003</t>
  </si>
  <si>
    <t>Partial grants (between 50% and 80%) of total investments costs</t>
  </si>
  <si>
    <t>Final beneficiaries up to date:
- ENEA Operator; 
- STOEN Operator; 
- ENERGA Operator; 
- PGE Dystrybucja;
- TAURON Dystrybucja S.A.</t>
  </si>
  <si>
    <t>29.12.2022
28.12.2022
29.03.2023
29.03.2023
01.06.2023
11.10.2023
28.11.2024
13.03.2025
01.04.2025
08.04.2025
30.07.2025
30.07.2025
29.10.2025
30.09.2025</t>
  </si>
  <si>
    <t>MF 2021-2 PL 0-002</t>
  </si>
  <si>
    <t xml:space="preserve"> MF 2023-2 PL 0-002</t>
  </si>
  <si>
    <t>Combination between grants and financial instruments</t>
  </si>
  <si>
    <t>GBER</t>
  </si>
  <si>
    <t>Final beneficiaries up to date:
- Velvet Care Sp.z o.o.;
- QEMETICA Soda Polska Spółka Akcyjna</t>
  </si>
  <si>
    <t>Podmiot prywatny - odbiorca energii - przemysł (Private entity - energy consumer - industry)</t>
  </si>
  <si>
    <t>17.08.2023
08.10.2024</t>
  </si>
  <si>
    <t>n/s</t>
  </si>
  <si>
    <t>MF 2023-2 PL 0-001</t>
  </si>
  <si>
    <t>Ongoing: tendering phase</t>
  </si>
  <si>
    <t xml:space="preserve">Tartak Napiwoda Sp. z o.o.
</t>
  </si>
  <si>
    <t>01.09.2025
01.09.2025</t>
  </si>
  <si>
    <t>MF 2021-2 PL 0-003</t>
  </si>
  <si>
    <t>Final beneficiaries up to date:
- Miejska Energetyka Cieplna w Koszalinie sp. z o.o.;
- Miejskie Przedsiebiorstwo Energetyki Cieplnej sp. z o.o.</t>
  </si>
  <si>
    <t>Podmiot publiczny - producent energii (Public entity - energy producer)</t>
  </si>
  <si>
    <t>05.12.2023
08.12.2023
09.12.2023
29.12.2023</t>
  </si>
  <si>
    <t>MF 2023-1 PL 0-002</t>
  </si>
  <si>
    <t>MF 2025-1 PL 0-002</t>
  </si>
  <si>
    <t>Final beneficiaries up to date:
- Przedsiebiorstwo Energetyki Cieplnej w Suwalkach sp. z o.o.</t>
  </si>
  <si>
    <t>29.12.2023
29.12.2023</t>
  </si>
  <si>
    <t>MF 2021-2 PL 0-005</t>
  </si>
  <si>
    <t>Final beneficiaries up to date:
- Okręgowe Przedsiębiorstwo Energetyki Cieplnej Sp. z. o. o. w Puławach
- Przedsiębiorstwo Energetyki Cieplnej Sp. z o.o. w Bełchatowie
- Przedsiębiorstwo Energetyki Cieplnej "PEC" Sp. z o.o. (Kwidzyn)
 - Veolia Energia Warszawa S.A.
- Lubelskie Przedsiębiorstwo Energetyki Cieplnej S.A.
- U&amp;R CALOR Sp. z o.o.
- CALOR Energetyka Cieplna Sp. z o.o.
- Przedsiębiorstwo Energetyki Cieplnej - GLIWICE sp. z o. o.
 - Przedsiębiorstwo Energetyki Cieplnej w Gnieźnie Sp. z o.o.
 - U&amp;R CALOR Sp. z o.o.
 - Elektrociepłownia Ciechanów Sp. z o. o.
- Veolia Energia Poznań S.A.
 - Miejska Gospodarka Komunalna Sp. z o. o.
- Szczecińska Energetyka Cieplna Spółka z ograniczoną odpowiedzialnością
- Przedsiębiorstwo Energetyki Cieplnej w Gnieźnie Sp. z o. o.
 - Gdańskie Przedsiębiorstwo Energetyki Cieplnej Sp. z o. o.
SEC Zgorzelec Sp. z o.o.
- Przedsiębiorstwo Energetyki Cieplnej w Ełku Sp. z o.o.
 - Przedsiębiorstwo Energetyczne w Siedlcach Sp. z o.o.
- Przedsiębiorstwo Energetyki Cieplnej Sp. z o.o. w Hajnówce
- Fortum Power and Heat Polska Sp. z o.o.
 - Miejskie Przedsiębiorstwo Energetyki Cieplnej Sp. z o.o.
 - Miejskie Sieci Cieplne w Zduńskiej Woli Sp. z o.o.
 - Miejskie Przedsiębiorstwo Energetyki Cieplnej Sp. z o.o. w Nowym Sączu
- U&amp;R CALOR Sp. z o.o.
 - SEC Chojnice Sp. z o.o.
 - Miejskie Przedsiębiorstwo Energetyki Cieplnej Sp. z o. o. w Ostródzie
 - Zakład Usług Technicznych Sp. z o.o.
- Miejskie Przedsiębiorstwo Energetyki Cieplnej Sp. z o. o. w Ostródzie</t>
  </si>
  <si>
    <t>MF 2021-2 PL 0-004</t>
  </si>
  <si>
    <t xml:space="preserve"> MF 2022-1 PL 0-001 </t>
  </si>
  <si>
    <t>Final beneficiaries up to date: https://www.gov.pl/web/funduszmodernizacyjny/zawarte-umowy</t>
  </si>
  <si>
    <t>Podmiot prywatny - producent energii (Private entity - energy producer)</t>
  </si>
  <si>
    <t>19.12.2022
21.12.2022
19.12.2022</t>
  </si>
  <si>
    <t xml:space="preserve">MF 2022-1 PL 0-007 </t>
  </si>
  <si>
    <t>MF 2024-1 PL 0-003</t>
  </si>
  <si>
    <t>MF 2023-1 PL 0-001</t>
  </si>
  <si>
    <t>MF 2024-1 PL 0-002
and 
MF 2024-2 PL 0-010</t>
  </si>
  <si>
    <t>27/12/2023
17.07.2024
25.11.2025</t>
  </si>
  <si>
    <t>MF 2021-2 PL 0-001</t>
  </si>
  <si>
    <t>Final beneficiaries up to date:
- PGE Dystrybucja 
- Stoen Operator Sp. z o.o. 
-Tauron Dystrybucja S.A.
- Enea Operator Sp.z o. o.</t>
  </si>
  <si>
    <t>07.12.2023
27.11.2024
22.04.2025
15.05.2025</t>
  </si>
  <si>
    <t>MF 2022-1 PL 0-004</t>
  </si>
  <si>
    <t>MF 2024-2 PL 0-009</t>
  </si>
  <si>
    <t>Financial instruments - loans</t>
  </si>
  <si>
    <t>Final beneficiaries up to date:
- Enea Ciepło Spółka z ograniczoną odpowiedzialnością;
- Elektrociepłownia "Zielona Góra" Spółka Akcyjna
- PGE Energia Ciepła Spółka Akcyjna</t>
  </si>
  <si>
    <t>17.02.2024
14.11.2024
26.03.2025</t>
  </si>
  <si>
    <t>MF 2022-1 PL 0-003</t>
  </si>
  <si>
    <t>MF 2024-2 PL 0-008</t>
  </si>
  <si>
    <t>Final beneficiaries up to date: 
- Südzucker Polska Spółka Akcyjna</t>
  </si>
  <si>
    <t>MF 2022-2 PL 0-003</t>
  </si>
  <si>
    <t>MF 2024-1 PL 0-001</t>
  </si>
  <si>
    <t>MF 2022-2 PL 0-002</t>
  </si>
  <si>
    <t>Final beneficiaries up to date: 
- Sanockie Przedsiębiorstwo Gospodarki Komunalnej Sp. z o.o.
- Celsium serwis Sp. z o.o.
- Veolia Północ Sp. z o.o.</t>
  </si>
  <si>
    <t>30.12.2024
30.12.2025
06.05.2025
08.12.2025</t>
  </si>
  <si>
    <t>MF 2022-2 PL 0-004</t>
  </si>
  <si>
    <t>MF 2024-2 PL 0-007</t>
  </si>
  <si>
    <t>Final beneficiaries up to date: 
- Miedzygminny Kompleks Unieszkodliwiania Odpadow ProNatura sp. z o.o.
 - EKO DOLINA Spółka Z o.o
 - Centrum Zielonej Energii Subregionu Zachodniego w Rybniku
 - Przedsiębiorstwo Usługowe Hetman Sp. z o.o.</t>
  </si>
  <si>
    <t xml:space="preserve">28.12.2023
28.12.2023
23.10.2025
23.10.2025
16.12.2025
16.12.2025
</t>
  </si>
  <si>
    <t>MF 2022-2 PL 1-001</t>
  </si>
  <si>
    <t>MF 2025-2 PL 0-001</t>
  </si>
  <si>
    <t>Non-priority</t>
  </si>
  <si>
    <t>Final beneficiaries up to date: 
- Przedsiębiorstwo Energetyki Cieplnej - Gliwice Sp. z o.o.
 - Miejskie Przedsiębiorstwo Infrastruktury "KOS-EKO" Sp. z o.o
 - Dalkia Polska Energia S.A.</t>
  </si>
  <si>
    <t xml:space="preserve">25.04.2024
17.05.2024
30.12.2025
30.12.2025
30.12.2025
</t>
  </si>
  <si>
    <t>MF 2021-2 PL 1-001</t>
  </si>
  <si>
    <t xml:space="preserve"> MF 2022-2 PL 1-002</t>
  </si>
  <si>
    <t>The final recipients of the aid will be natural persons. The program is addressed to owners or co-owners (end recipients) of new single-family buildings. Beneficiaries that have been awarded support:
https://mojecieplo.gov.pl/wyniki-naboru/</t>
  </si>
  <si>
    <t>Podmiot prywatny - odbiorca energii - budynki (Private entity - energy consumer - buildings)</t>
  </si>
  <si>
    <t>MF 2024-1 PL 0-005</t>
  </si>
  <si>
    <t>Beneficiaries of the programme: entrepreneurs within the meaning of the Act of 6 March 2018 – Entrepreneurs' Law, who have their registered office or branch in the territory of the Republic of Poland.</t>
  </si>
  <si>
    <t>Inne (Other)</t>
  </si>
  <si>
    <t>MF 2024-1 PL 0-007</t>
  </si>
  <si>
    <t>List of concluded contracts (Final Beneficiaries):
https://www.gov.pl/web/funduszmodernizacyjny/zawarte-umowy</t>
  </si>
  <si>
    <t>MF 2024-2 PL 0-003</t>
  </si>
  <si>
    <t>MF 2024-2 PL 0-002</t>
  </si>
  <si>
    <t>TCTF</t>
  </si>
  <si>
    <t xml:space="preserve">Beneficiaries of the programme: entrepreneurs within the meaning of the Act of 6 March 2018 – Entrepreneurs' Law, </t>
  </si>
  <si>
    <t>Podmiot prywatny - odbiorca energii - inne (Private entity - energy consumer - other)</t>
  </si>
  <si>
    <t>30.12.2025
31.12.2025</t>
  </si>
  <si>
    <t>MF 2024-2 PL 0-001</t>
  </si>
  <si>
    <t>Beneficiaries of the programme: distribution system operators (DSOs) – electricity distribution system operators within the meaning of Article 3(25) of the Act of 10 April 1997 – Energy Law</t>
  </si>
  <si>
    <t>MF 2024-2 PL 0-005</t>
  </si>
  <si>
    <t>MF 2025-1 PL 0-001</t>
  </si>
  <si>
    <t>The beneficiaries of the CAS are individuals (natural persons) who are owners/co-owners of single-family buildings/separate residential premises in single-family buildings.
Under the scheme the division into three groups of beneficiaries exists and the amount of support they are entitled to depends on the income of the beneficiary or income per member of the beneficiary's household. The highest support is granted to the group at greatest risk of energy poverty, which is directly in line with art. 10d (2) of the ETS Directive ("support for low-income households to address energy poverty and to renovate their heating systems").
https://www.gov.pl/web/funduszmodernizacyjny/zawarte-umowy</t>
  </si>
  <si>
    <t>https://www.gov.pl/web/funduszmodernizacyjny/konsultacje-spoleczne-dotyczace-nowych-obszarow-wsparcia-z-funduszu-modernizacyjnego-na-lata-2024-2025-z-perspektywa-do-2030-r</t>
  </si>
  <si>
    <t>MF 2025-1 PL 0-003</t>
  </si>
  <si>
    <t>Ongoing: confirmed but not started</t>
  </si>
  <si>
    <t xml:space="preserve">The beneficiaries of the “High efficiency biogas cogeneration from biomass, including municipal waste” scheme are entrepreneurs within the meaning of the Act of 6 March 2018 on Entrepreneurs carrying out economic activities (Journal of Laws of 2024, item 236), with the exception of the beneficiaries specified in point 7.4. of the "Energy for Rural Areas" scheme*:
</t>
  </si>
  <si>
    <t>Electricity Distribution System Operators (DSO)</t>
  </si>
  <si>
    <t>Podmiot prywatny - dystrybucja i sieci (Private entity - distribution and networks)</t>
  </si>
  <si>
    <t>https://www.gov.pl/web/funduszmodernizacyjny/konsultacje-spoleczne-dotyczace-nowych-obszarow-wsparcia-z-funduszu-modernizacyjnego-na-lata-2025-2026-z-perspektywa-do-2030-r</t>
  </si>
  <si>
    <t>MF 2025-2 PL 0-003</t>
  </si>
  <si>
    <t>The scheme in question is dedicated to enterprises within the meaning of the Act of 6 March 2018 Entrepreneurs' Law having legal title to an installation covered by the greenhouse gas emission allowance trading scheme within the meaning of the Act of June 12, 2015 on the greenhouse gas emission allowance trading scheme, resulting from the ownership right, perpetual usufruct right or permanent management, which has not been liquidated or not bankruptcy proceedings are pending against.</t>
  </si>
  <si>
    <t>MF 2025-2 PL 1-002</t>
  </si>
  <si>
    <t>Beneficiaries of the programme: entrepreneurs within the meaning of the Act of 6 March 2018 – Entrepreneurs' Law</t>
  </si>
  <si>
    <t>1. Overview of investments planned in the next two calendar years and, where possible, the outlook until 2030</t>
  </si>
  <si>
    <t>2. Information about the outcome of stakeholder consultation on the draft overview of investments under Article 13(5)</t>
  </si>
  <si>
    <t>Name and reference of the investment</t>
  </si>
  <si>
    <t>1.1. Name of the project proponent or the scheme managing authority</t>
  </si>
  <si>
    <t>1.2. Specific location of the investment or the geographical scope of the scheme (location name, country name)</t>
  </si>
  <si>
    <t>1.3. Estimate of the total cost of the investment</t>
  </si>
  <si>
    <t>1.5. Status of any State aid assessment concerning the investment, where applicable (completed, pending,not applicable)</t>
  </si>
  <si>
    <t>1.6. Estimate of the financing from the Modernisation Fund and outline of the intended financing proposals</t>
  </si>
  <si>
    <t>1.7. Information on the relation between the investment and the integrated National Energy and Climate Plan (NECP), in particular with regard to the national objectives, targets, policies and measures and the investment needed.</t>
  </si>
  <si>
    <t>1.8. Information on whether the investment has been awarded a seal or any quality label foreseen by the Union law after having been evaluated positively in a directly managed funding programmes</t>
  </si>
  <si>
    <t>2.1 Dates of consultation</t>
  </si>
  <si>
    <t xml:space="preserve">2.1 Format of consultation </t>
  </si>
  <si>
    <t>2.1 Types of stakeholders consulted</t>
  </si>
  <si>
    <t>2.1 Number of replies received</t>
  </si>
  <si>
    <t>2.1. Summary of the replies</t>
  </si>
  <si>
    <t>1.4 Summary description of the investment</t>
  </si>
  <si>
    <t>XX</t>
  </si>
  <si>
    <t>bMS</t>
  </si>
  <si>
    <t>Year</t>
  </si>
  <si>
    <t>Column1</t>
  </si>
  <si>
    <t>Column2</t>
  </si>
  <si>
    <t>-</t>
  </si>
  <si>
    <t>Fully discontinued</t>
  </si>
  <si>
    <t>Public entity - energy consumer - industry</t>
  </si>
  <si>
    <t>Podmiot publiczny - odbiorca energii - przemysł</t>
  </si>
  <si>
    <t>Bulgaria</t>
  </si>
  <si>
    <t>Partially discontinued</t>
  </si>
  <si>
    <t>CEEAG</t>
  </si>
  <si>
    <t>Public entity - energy consumer - services</t>
  </si>
  <si>
    <t>Podmiot publiczny - odbiorca energii - usługi</t>
  </si>
  <si>
    <t>Czechia</t>
  </si>
  <si>
    <t>Modified</t>
  </si>
  <si>
    <t>CISAF</t>
  </si>
  <si>
    <t>Public entity - energy consumer - buildings</t>
  </si>
  <si>
    <t>Podmiot publiczny - odbiorca energii - budynki</t>
  </si>
  <si>
    <t>Estonia</t>
  </si>
  <si>
    <t>Completed (for schemes)</t>
  </si>
  <si>
    <t>Public entity - energy consumer - other</t>
  </si>
  <si>
    <t>Podmiot publiczny - odbiorca energii - inne</t>
  </si>
  <si>
    <t>Greece</t>
  </si>
  <si>
    <t>Entered into operation (for investments other than schemes)</t>
  </si>
  <si>
    <t>Financial instruments - equity</t>
  </si>
  <si>
    <t>Public entity - energy producer</t>
  </si>
  <si>
    <t>Podmiot publiczny - producent energii</t>
  </si>
  <si>
    <t>Croatia</t>
  </si>
  <si>
    <t>Not applicable (investment fully discontinued)</t>
  </si>
  <si>
    <t>Financial instruments - financial guarantees</t>
  </si>
  <si>
    <t>De minimis</t>
  </si>
  <si>
    <t>Public entity - distribution and networks</t>
  </si>
  <si>
    <t>Podmiot publiczny - dystrybucja i sieci</t>
  </si>
  <si>
    <t>Latvia</t>
  </si>
  <si>
    <t>Other</t>
  </si>
  <si>
    <t>Private entity - energy consumer - industry</t>
  </si>
  <si>
    <t>Podmiot prywatny - odbiorca energii - przemysł</t>
  </si>
  <si>
    <t>Lithuania</t>
  </si>
  <si>
    <t>Private entity - energy consumer - services</t>
  </si>
  <si>
    <t>Podmiot prywatny - odbiorca energii - usługi</t>
  </si>
  <si>
    <t>Hungary</t>
  </si>
  <si>
    <t xml:space="preserve">W toku: potwierdzono, ale nie rozpoczęto </t>
  </si>
  <si>
    <t>Private entity - energy consumer - buildings</t>
  </si>
  <si>
    <t>Podmiot prywatny - odbiorca energii - budynki</t>
  </si>
  <si>
    <t xml:space="preserve">W toku: faza przetargowa </t>
  </si>
  <si>
    <t>Private entity - energy consumer - other</t>
  </si>
  <si>
    <t>Podmiot prywatny - odbiorca energii - inne</t>
  </si>
  <si>
    <t>Portugal</t>
  </si>
  <si>
    <t xml:space="preserve">W toku: faza budowy </t>
  </si>
  <si>
    <t>Private entity - energy producer</t>
  </si>
  <si>
    <t>Podmiot prywatny - producent energii</t>
  </si>
  <si>
    <t>Romania</t>
  </si>
  <si>
    <t xml:space="preserve">Zakończono (dla projektów) </t>
  </si>
  <si>
    <t>Private entity - distribution and networks</t>
  </si>
  <si>
    <t>Podmiot prywatny - dystrybucja i sieci</t>
  </si>
  <si>
    <t>Slovenia</t>
  </si>
  <si>
    <t xml:space="preserve">Oddano do eksploatacji (dla inwestycji innych niż projekty) </t>
  </si>
  <si>
    <t>Public-private partnerships - energy consumer - industry</t>
  </si>
  <si>
    <t>Partnerstwa publiczno-prywatne - odbiorca energii - przemysł</t>
  </si>
  <si>
    <t>Slovakia</t>
  </si>
  <si>
    <t>Nie dotyczy (inwestycja całkowicie wstrzymana)</t>
  </si>
  <si>
    <t>Public-private partnerships - energy consumer - buildings or residential</t>
  </si>
  <si>
    <t>Partnerstwa publiczno-prywatne - odbiorca energii - budynki lub budynki mieszkalne</t>
  </si>
  <si>
    <t>Public-private partnerships - energy consumer - services</t>
  </si>
  <si>
    <t>Partnerstwa publiczno-prywatne - odbiorca energii - usługi</t>
  </si>
  <si>
    <t>Public-private partnerships - energy consumer - other</t>
  </si>
  <si>
    <t>Partnerstwa publiczno-prywatne - odbiorca energii - inne</t>
  </si>
  <si>
    <t>Public-private partnerships - energy producer</t>
  </si>
  <si>
    <t>Partnerstwa publiczno-prywatne - producent energii</t>
  </si>
  <si>
    <t>Public-private partnerships - distribution and networks</t>
  </si>
  <si>
    <t>Partnerstwa publiczno-prywatne - dystrybucja i sieci</t>
  </si>
  <si>
    <t>Mix or public and private entities - energy consumers - industry</t>
  </si>
  <si>
    <t>Podmioty mieszane lub publiczno-prywatne - odbiorcy energii - przemysł</t>
  </si>
  <si>
    <t>Mix or public and private entities - energy consumers - services</t>
  </si>
  <si>
    <t>Podmioty mieszane lub publiczno-prywatne - odbiorcy energii - usługi</t>
  </si>
  <si>
    <t>Mix or public and private entities - energy consumers - buildings</t>
  </si>
  <si>
    <t>Podmioty mieszane lub publiczno-prywatne - odbiorcy energii - budynki</t>
  </si>
  <si>
    <t>Mix or public and private entities - energy consumers - other</t>
  </si>
  <si>
    <t>Podmioty mieszane lub Podmioty publiczne i prywatne – odbiorcy energii – inne</t>
  </si>
  <si>
    <t>Mix or public and private entities - energy producers</t>
  </si>
  <si>
    <t>Podmioty mieszane – producenci energii</t>
  </si>
  <si>
    <t>Mix or public and private entities - distribution and networks</t>
  </si>
  <si>
    <t>Podmioty mieszane – dystrybucja i sieci</t>
  </si>
  <si>
    <t>Inne</t>
  </si>
  <si>
    <t>Please indicate if the investment was discontinued; or if not whether the investment was modified compared to the initial application (czy została przerwana)</t>
  </si>
  <si>
    <t>Implementation status (only for ongoing investments, even if partially discontinued or modified) status realizacji</t>
  </si>
  <si>
    <t>Implementation modality (for all investments) rodzaj grantu</t>
  </si>
  <si>
    <t>State aid regime (for all investments) pomoc publiczna</t>
  </si>
  <si>
    <t>Realizacja/wykonanie</t>
  </si>
  <si>
    <t>Wkład w realizację celów Zielonego Ładu</t>
  </si>
  <si>
    <t>Informacje finansowe</t>
  </si>
  <si>
    <t>Informacje ogólne</t>
  </si>
  <si>
    <t>Numer</t>
  </si>
  <si>
    <t xml:space="preserve">Renowacja z gwarancją oszczędności EPC </t>
  </si>
  <si>
    <t>Nazwa inwestycji (wskazana w odpowiedniej decyzji o wypłacie środków)</t>
  </si>
  <si>
    <t>Odniesienie do kolejnych wypłat (jeśli występują)</t>
  </si>
  <si>
    <t>Numer referencyjny inwestycji (wskazany w obowiązującej decyzji o wypłacie)</t>
  </si>
  <si>
    <t>Elektroenergetyka - Inteligentna infrastruktura energetyczna</t>
  </si>
  <si>
    <t>Rozwój infrastruktury elektroenergetycznej na potrzeby rozwoju stacji ładowania pojazdów elektrycznych</t>
  </si>
  <si>
    <t>Digitalizacja sieci ciepłowniczych</t>
  </si>
  <si>
    <t>Wsparcie wykorzystania magazynów i innych urządzeń do stabilizacji sieci – program dla OSD</t>
  </si>
  <si>
    <t>Przemysł energochłonny – OZE</t>
  </si>
  <si>
    <t>Przemysł energochłonny – poprawa efektywności energetycznej</t>
  </si>
  <si>
    <t>Energia dla Wsi</t>
  </si>
  <si>
    <t>Kogeneracja powiatowa</t>
  </si>
  <si>
    <t>Rozwój kogeneracji w oparciu o biogaz komunalny</t>
  </si>
  <si>
    <t>OZE – źródła ciepła dla ciepłownictwa</t>
  </si>
  <si>
    <t>Moje ciepło</t>
  </si>
  <si>
    <t xml:space="preserve">Wsparcie budowy lub rozbudowy ogólnodostępnej stacji ładowania dla transportu ciężkiego  </t>
  </si>
  <si>
    <t>Moja Elektrownia Wiatrowa (MEW)</t>
  </si>
  <si>
    <t>Czyste powietrze</t>
  </si>
  <si>
    <t>Wsparcie zakupu lub leasingu pojazdów zeroemisyjnych kategorii N2 i N3</t>
  </si>
  <si>
    <t>Magazyny energii elektrycznej i związana z nimi infrastruktura dla poprawy stabilności polskiej sieci elektroenergetycznej</t>
  </si>
  <si>
    <t>Budowa/rozbudowa sieci elektroenergetycznych na potrzeby ogólnodostępnych stacji ładowania dużych mocy</t>
  </si>
  <si>
    <t xml:space="preserve"> Całkowite koszty inwestycji/całkowita wielkość programu/projektu z VATw EUR</t>
  </si>
  <si>
    <t xml:space="preserve"> Całkowite koszty inwestycji/całkowita wielkość programu/projektubez VAT w EUR</t>
  </si>
  <si>
    <t>Całkowite planowane wsparcie z Funduszu Modernizacyjnego dla inwestycji w EUR</t>
  </si>
  <si>
    <t>Poprawa bezpieczeństwa energetycznego poprzez wykorzystanie biometanu</t>
  </si>
  <si>
    <t>Wysokosprawna kogeneracja z biogazu wytwarzanego z biomasy, w tym z odpadów komunalnych</t>
  </si>
  <si>
    <t>od 2025</t>
  </si>
  <si>
    <t>od
2024 
do
2025</t>
  </si>
  <si>
    <t>od
2022 
do 
2025</t>
  </si>
  <si>
    <t>od
30.06.2023
do
31.12.2025</t>
  </si>
  <si>
    <t>od
23.03.2023
do
14.12.2023</t>
  </si>
  <si>
    <t>od
22.11.2023
do
30.12.2025</t>
  </si>
  <si>
    <t xml:space="preserve">
Łączne potwierdzone/zalecane wsparcie z Funduszu Modernizacyjnego na inwestycję w EUR</t>
  </si>
  <si>
    <t>Artykuł 10 ust. 1 akapit trzeci – (2%)</t>
  </si>
  <si>
    <t>Artykuł 10(1), akapit czwarty - (2,5%)</t>
  </si>
  <si>
    <t>Artykuł 10d(4) – (Przeniesienia)</t>
  </si>
  <si>
    <t>Data zobowiązania prawnego [Data: DD/MM/20RR]</t>
  </si>
  <si>
    <t>Całkowita kwota objęta zobowiązaniem prawnym pomiędzy państwem członkowskim beneficjentem/organem zarządzającym a wnioskodawcą projektu/ostatecznymi odbiorcami wsparcia z Funduszu Modernizacyjnego (data graniczna: 31 grudnia roku poprzedzającego złożenie sprawozdania) (w przypadku programów: kwota łączna) w EUR</t>
  </si>
  <si>
    <t>Łączna kwota wypłacona przez państwo członkowskie będące beneficjentem/instytucję zarządzającą programem wnioskodawcy projektu/ostatecznym odbiorcom wsparcia modernizacyjnego (data graniczna: 31 grudnia roku poprzedzającego złożenie sprawozdania) (w przypadku programów: kwota łączna) w EUR</t>
  </si>
  <si>
    <t>od 
2022 
do 
2025</t>
  </si>
  <si>
    <t>TAK (oświadczenie wnioskodawcy i dokumenty potwierdzające wpłaty)</t>
  </si>
  <si>
    <t xml:space="preserve">
TAK (oświadczenie wnioskodawcy i dokumenty potwierdzające wpłaty)</t>
  </si>
  <si>
    <t xml:space="preserve">
Data pierwszej płatności [Data: DD/MM/20RR]</t>
  </si>
  <si>
    <t xml:space="preserve">
Data ostatniej płatności [Data: DD/MM/20RR]</t>
  </si>
  <si>
    <t>Ocena wartości dodanej inwestycji w zakresie efektywności energetycznej i modernizacji systemu energetycznego, obejmująca informacje na temat następujących kwestii (w przypadku programów: dane zagregowane).
Prosimy o podanie wyjaśnień w razie potrzeby.</t>
  </si>
  <si>
    <t>Zaoszczędzona energia in MWh</t>
  </si>
  <si>
    <t>do 31 grudnia roku poprzedzającego złożenie sprawozdania</t>
  </si>
  <si>
    <t>spodziewana skumulowana kwota do końca okresu trwania inwestycji</t>
  </si>
  <si>
    <t>Wszelkie kwoty odzyskane przez państwo członkowskie będące beneficjentem od wnioskodawcy projektu lub instytucji zarządzającej programem oraz daty odzyskania w EUR; data</t>
  </si>
  <si>
    <t xml:space="preserve">Potwierdzenie współfinansowania ze źródeł prywatnych (zarówno dla inwestycji priorytetowych, jeśli ma to zastosowanie, ale szczególnie dla inwestycji niepriorytetowych) w EUR - </t>
  </si>
  <si>
    <t>Oczekiwane względne oszczędności energii na koniec okresu użytkowania inwestycji (%) – jeśli dotyczy</t>
  </si>
  <si>
    <t>Oszczędność emisji gazów cieplarnianych w tonach CO2</t>
  </si>
  <si>
    <t>Dodatkowa zainstalowana moc energii odnawialnej, jeżeli ma to zastosowanie, w MW</t>
  </si>
  <si>
    <t>spodziewana skumulowana kwota do końca okresu trwania inwestycji”</t>
  </si>
  <si>
    <t>Czy inwestycja została uwzględniona we wcześniejszym przeglądzie planowanych inwestycji zgodnie z artykułem 13(2), a jeśli tak, to w którym.
Format: [Tak/Nie, Rok]</t>
  </si>
  <si>
    <t>Koszty redukcji w EUR/tCO2 (jeśli ma to zastosowanie ze względu na charakter inwestycji), obliczone jako całkowite koszty inwestycji/całkowita objętość programu/projektu z uwzględnieniem podatku VAT w stosunku do zaoszczędzonych emisji gazów cieplarnianych</t>
  </si>
  <si>
    <t>Koszty redukcji w EUR/tCO2 (jeśli ma to zastosowanie ze względu na charakter inwestycji), obliczone jako całkowite planowane wsparcie z Funduszu Modernizacyjnego dla inwestycji w stosunku do zaoszczędzonych emisji gazów cieplarnianych</t>
  </si>
  <si>
    <t xml:space="preserve">
spodziewana skumulowana kwota do końca okresu trwania inwestycji</t>
  </si>
  <si>
    <t>nie dotyczy</t>
  </si>
  <si>
    <t>W przypadku projektów i planów na dużą skalę, przy pierwszym raportowaniu projektu lub planu: przegląd przeprowadzonych konsultacji.</t>
  </si>
  <si>
    <t>Wyjaśnienie, w jaki sposób inwestycja spełnia kryteria „niewyrządzania poważnych szkód” zgodnie z artykułem 10f dyrektywy 2003/87/WE (dotyczy wyłącznie inwestycji zatwierdzonych po 1 stycznia 2025 r.)</t>
  </si>
  <si>
    <t>zaproszenie do składania wniosków/kryteria wyboru wniosków/oświadczenie beneficjenta</t>
  </si>
  <si>
    <t>nie dotyczy (tylko schemat)</t>
  </si>
  <si>
    <t>Audyt jeszcze nie przeprowadzony/audyt w toku</t>
  </si>
  <si>
    <t>W przypadku inwestycji innych niż programy:
zidentyfikowane lub przewidywane zmiany w kosztach kwalifikowanych, zastosowanej technologii lub wynikach inwestycji</t>
  </si>
  <si>
    <t>Opis i linki do audytów przeprowadzanych na szczeblu krajowym zgodnie z art. 16 ust. 4 rozporządzenia wykonawczego 2020/1001</t>
  </si>
  <si>
    <t>Zidentyfikowane lub spodziewane opóźnienia we wdrażaniu</t>
  </si>
  <si>
    <t>Bez opóźnień.
Przedłużyć nabór wniosków.
Przedłużyć fazę kontraktowania.</t>
  </si>
  <si>
    <t>W przypadku inwestycji innych niż programy: przewidywany termin oddania do eksploatacji [Data: DD/MM/20RR]</t>
  </si>
  <si>
    <t>Kamienie milowe osiągnięte od czasu poprzedniego sprawozdania rocznego; (w przypadku programów może to obejmować na przykład informacje o naborach wniosków, wyborze projektów, umowach zawartych z ostatecznymi odbiorcami wsparcia z Funduszu Modernizacyjnego)</t>
  </si>
  <si>
    <t>nabór wniosków: w toku wnioski projektowe: - umowy zawarte: -</t>
  </si>
  <si>
    <t>nabór wniosków: 1
 wnioski projektowe: 4 umowy zawarte: -</t>
  </si>
  <si>
    <t>nabór wniosków: 3
 wnioski projektowe: 2 umowy zawarte: 0</t>
  </si>
  <si>
    <t>nabór wniosków: 1
 wnioski projektowe: 6 umowy zawarte: -</t>
  </si>
  <si>
    <t>nabór wniosków: 1
 wnioski projektowe: 53 umowy zawarte: -</t>
  </si>
  <si>
    <t>nabór wniosków: 1
wnioski projektowe: 49811
umowy zawarte: 32430</t>
  </si>
  <si>
    <t>nabór wniosków: 1
 wnioski projektowe: 248 umowy zawarte: -</t>
  </si>
  <si>
    <t>nabór wniosków: 1
 wnioski projektowe: 634 umowy zawarte: 180</t>
  </si>
  <si>
    <t>nabór wniosków: 1
 wnioski projektowe: 352 umowy zawarte: -</t>
  </si>
  <si>
    <t>nabór wniosków: 1
 wnioski projektowe: 70 umowy zawarte: 5</t>
  </si>
  <si>
    <t>nabór wniosków: 1
 wnioski projektowe: 55 umowy zawarte: 8</t>
  </si>
  <si>
    <t>nabór wniosków: 1
 wnioski projektowe: 12954
umowy zawarte: 36658</t>
  </si>
  <si>
    <t>nabór wniosków: 1
 wnioski projektowe: 2794
umowy zawarte: 1269</t>
  </si>
  <si>
    <t>nabór wniosków: 2
 wnioski projektowe: 1 umowy zawarte: 1</t>
  </si>
  <si>
    <t>nabór wniosków: 2
 wnioski projektowe: 7 umowy zawarte: 3</t>
  </si>
  <si>
    <t>nabór wniosków: 2
 wnioski projektowe: 9 umowy zawarte: 4</t>
  </si>
  <si>
    <t>nabór wniosków: 2
 wnioski projektowe: 108 umowy zawarte: 4</t>
  </si>
  <si>
    <t>nabór wniosków: 1
 wnioski projektowe: - umowy zawarte: 126</t>
  </si>
  <si>
    <t>nabór wniosków: 1
 wnioski projektowe: 52 umowy zawarte: 6</t>
  </si>
  <si>
    <t>nabór wniosków: 1
 wnioski projektowe: 48 umowy zawarte: 18</t>
  </si>
  <si>
    <t>nabór wniosków: 1
 wnioski projektowe: 20 umowy zawarte: 6</t>
  </si>
  <si>
    <t>nabór wniosków: 1
 wnioski projektowe: 8 umowy zawarte: 2</t>
  </si>
  <si>
    <t>nabór wniosków: 3
 wnioski projektowe: 104 umowy zawarte: 49</t>
  </si>
  <si>
    <t>nabór wniosków: 2
 wnioski projektowe: 69 umowy zawarte: 4</t>
  </si>
  <si>
    <t>nabór wniosków: 2
 wnioski projektowe: 13 umowy zawarte: 2</t>
  </si>
  <si>
    <t>nabór wniosków: 1
 wnioski projektowe: 142 umowy zawarte: 2</t>
  </si>
  <si>
    <t>nabór wniosków: 4
 wnioski projektowe: 352
umowy zawarte: 14</t>
  </si>
  <si>
    <t>nabór wniosków: 3
 wnioski projektowe: 12 umowy zawarte: 11</t>
  </si>
  <si>
    <t>nabór wniosków: 2
 wnioski projektowe: 36 umowy zawarte: 6</t>
  </si>
  <si>
    <t>nie</t>
  </si>
  <si>
    <t>tak; 2024</t>
  </si>
  <si>
    <t>tak; 2025</t>
  </si>
  <si>
    <t>Kogeneracja dla Energetyki i Przemysłu Część 1) Inwestycje dotyczące budowy lub/i przebudowy jednostek wytwórczych o łącznej mocy zainstalowanej nie mniejszej niż 10 MW, pracujących w warunkach wysokosprawnej kogeneracji</t>
  </si>
  <si>
    <t>Kogeneracja dla Energetyki i Przemysłu Część 2) Inwestycje dotyczące budowy lub/i przebudowy jednostek wytwórczych o łącznej mocy zainstalowanej nie mniejszej niż 0,5 MW , pracujących w warunkach wysokosprawnej kogeneracji</t>
  </si>
  <si>
    <t>Kogeneracja dla Ciepłownictwa. Część 1) Budowa lub/i przebudowa jednostek wytwórczych o łącznej mocy zainstalowanej nie mniejszej niż 10 MW</t>
  </si>
  <si>
    <t>Kogeneracja dla Ciepłownictwa. Część 2) Budowa lub/i przebudowa jednostek wytwórczych o łącznej mocy zainstalowanej nie mniejszej niż 1 MW</t>
  </si>
  <si>
    <t>Racjonalna gospodarka odpadami. Część 3) Wykorzystanie paliw alternatywnych na cele energetyczne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</si>
</sst>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
    <numFmt numFmtId="165" formatCode="0.00\ &quot;MWh&quot;"/>
    <numFmt numFmtId="166" formatCode="0.00\ &quot;tCO2&quot;"/>
    <numFmt numFmtId="167" formatCode="0.00\ &quot;€/tCO2&quot;"/>
    <numFmt numFmtId="168" formatCode="0.00\ &quot;MW&quot;\ "/>
    <numFmt numFmtId="169" formatCode="#,##0.00\ &quot;zł&quot;"/>
  </numFmts>
  <fonts count="48">
    <font>
      <sz val="11"/>
      <color theme="1"/>
      <name val="Calibri"/>
      <family val="2"/>
      <charset val="238"/>
      <scheme val="minor"/>
    </font>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1"/>
      <name val="Arial"/>
      <family val="2"/>
    </font>
    <font>
      <b/>
      <sz val="14"/>
      <name val="Calibri"/>
      <family val="2"/>
      <charset val="238"/>
      <scheme val="minor"/>
    </font>
    <font>
      <b/>
      <sz val="11"/>
      <color theme="1"/>
      <name val="Calibri"/>
      <family val="2"/>
      <scheme val="minor"/>
    </font>
    <font>
      <b/>
      <sz val="16"/>
      <color theme="0"/>
      <name val="Calibri"/>
      <family val="2"/>
      <charset val="238"/>
      <scheme val="minor"/>
    </font>
    <font>
      <sz val="12"/>
      <color theme="1"/>
      <name val="Calibri"/>
      <family val="2"/>
      <charset val="238"/>
      <scheme val="minor"/>
    </font>
    <font>
      <sz val="12"/>
      <color theme="1"/>
      <name val="Calibri"/>
      <family val="2"/>
      <scheme val="minor"/>
    </font>
    <font>
      <b/>
      <sz val="18"/>
      <color theme="1"/>
      <name val="Calibri"/>
      <family val="2"/>
      <scheme val="minor"/>
    </font>
    <font>
      <b/>
      <u/>
      <sz val="14"/>
      <name val="Calibri"/>
      <family val="2"/>
      <scheme val="minor"/>
    </font>
    <font>
      <b/>
      <sz val="11"/>
      <color rgb="FF404040"/>
      <name val="Calibri"/>
      <family val="2"/>
      <charset val="238"/>
      <scheme val="minor"/>
    </font>
    <font>
      <sz val="11"/>
      <color rgb="FF404040"/>
      <name val="Calibri"/>
      <family val="2"/>
      <charset val="238"/>
      <scheme val="minor"/>
    </font>
    <font>
      <b/>
      <sz val="11"/>
      <name val="Calibri"/>
      <family val="2"/>
      <charset val="238"/>
      <scheme val="minor"/>
    </font>
    <font>
      <sz val="8"/>
      <name val="Calibri"/>
      <family val="2"/>
      <charset val="238"/>
      <scheme val="minor"/>
    </font>
    <font>
      <u/>
      <sz val="11"/>
      <color theme="1"/>
      <name val="Calibri"/>
      <family val="2"/>
      <scheme val="minor"/>
    </font>
    <font>
      <u/>
      <sz val="11"/>
      <name val="Calibri"/>
      <family val="2"/>
      <scheme val="minor"/>
    </font>
    <font>
      <sz val="11"/>
      <name val="Calibri"/>
      <family val="2"/>
    </font>
    <font>
      <b/>
      <sz val="16"/>
      <color theme="0"/>
      <name val="Calibri"/>
      <family val="2"/>
      <scheme val="minor"/>
    </font>
    <font>
      <b/>
      <sz val="22"/>
      <color theme="1"/>
      <name val="Calibri"/>
      <family val="2"/>
      <scheme val="minor"/>
    </font>
    <font>
      <sz val="12"/>
      <name val="Calibri"/>
      <family val="2"/>
      <scheme val="minor"/>
    </font>
    <font>
      <u/>
      <sz val="11"/>
      <color rgb="FF000000"/>
      <name val="Calibri"/>
      <family val="2"/>
      <scheme val="minor"/>
    </font>
    <font>
      <sz val="11"/>
      <color rgb="FF000000"/>
      <name val="Calibri"/>
      <family val="2"/>
      <scheme val="minor"/>
    </font>
    <font>
      <i/>
      <sz val="11"/>
      <color rgb="FF000000"/>
      <name val="Calibri"/>
      <family val="2"/>
      <scheme val="minor"/>
    </font>
    <font>
      <b/>
      <i/>
      <sz val="11"/>
      <color rgb="FF000000"/>
      <name val="Calibri"/>
      <family val="2"/>
      <scheme val="minor"/>
    </font>
    <font>
      <b/>
      <sz val="11"/>
      <color rgb="FF000000"/>
      <name val="Calibri"/>
      <family val="2"/>
      <scheme val="minor"/>
    </font>
    <font>
      <sz val="16"/>
      <color theme="1"/>
      <name val="Calibri"/>
      <family val="2"/>
      <scheme val="minor"/>
    </font>
    <font>
      <b/>
      <sz val="16"/>
      <color rgb="FF000000"/>
      <name val="Calibri"/>
      <family val="2"/>
      <scheme val="minor"/>
    </font>
    <font>
      <b/>
      <sz val="16"/>
      <color theme="1"/>
      <name val="Calibri"/>
      <family val="2"/>
      <scheme val="minor"/>
    </font>
    <font>
      <b/>
      <i/>
      <sz val="10"/>
      <color rgb="FF333333"/>
      <name val="Calibri"/>
      <family val="2"/>
      <scheme val="minor"/>
    </font>
    <font>
      <u/>
      <sz val="11"/>
      <color rgb="FFFF0000"/>
      <name val="Calibri"/>
      <family val="2"/>
      <scheme val="minor"/>
    </font>
    <font>
      <b/>
      <sz val="18"/>
      <color rgb="FFFF0000"/>
      <name val="Calibri"/>
      <family val="2"/>
      <scheme val="minor"/>
    </font>
    <font>
      <sz val="11"/>
      <color theme="1"/>
      <name val="Calibri"/>
      <family val="2"/>
      <charset val="238"/>
      <scheme val="minor"/>
    </font>
    <font>
      <b/>
      <sz val="11"/>
      <color rgb="FF333333"/>
      <name val="Calibri"/>
      <family val="2"/>
      <scheme val="minor"/>
    </font>
    <font>
      <sz val="11"/>
      <color theme="9" tint="-0.499984740745262"/>
      <name val="Calibri"/>
      <family val="2"/>
      <scheme val="minor"/>
    </font>
    <font>
      <sz val="12"/>
      <color theme="9" tint="-0.499984740745262"/>
      <name val="Calibri"/>
      <family val="2"/>
      <scheme val="minor"/>
    </font>
    <font>
      <u/>
      <sz val="11"/>
      <color theme="1"/>
      <name val="Calibri"/>
      <family val="2"/>
      <charset val="238"/>
      <scheme val="minor"/>
    </font>
    <font>
      <sz val="12"/>
      <name val="Calibri"/>
      <family val="2"/>
      <charset val="238"/>
      <scheme val="minor"/>
    </font>
    <font>
      <sz val="11"/>
      <color rgb="FF3C4043"/>
      <name val="Google Sans"/>
    </font>
    <font>
      <sz val="12"/>
      <color theme="9" tint="-0.499984740745262"/>
      <name val="Calibri"/>
      <family val="2"/>
      <charset val="238"/>
      <scheme val="minor"/>
    </font>
    <font>
      <b/>
      <sz val="11"/>
      <color rgb="FF0070C0"/>
      <name val="Calibri"/>
      <family val="2"/>
      <charset val="238"/>
      <scheme val="minor"/>
    </font>
    <font>
      <sz val="11"/>
      <name val="Calibri"/>
      <family val="2"/>
      <charset val="238"/>
      <scheme val="minor"/>
    </font>
    <font>
      <sz val="11"/>
      <name val="Aptos Narrow"/>
      <family val="2"/>
    </font>
    <font>
      <b/>
      <sz val="11"/>
      <color theme="0"/>
      <name val="Calibri"/>
      <family val="2"/>
      <charset val="238"/>
      <scheme val="minor"/>
    </font>
    <font>
      <sz val="12"/>
      <color rgb="FFFF0000"/>
      <name val="Calibri"/>
      <family val="2"/>
      <scheme val="minor"/>
    </font>
    <font>
      <sz val="11"/>
      <color rgb="FFFF0000"/>
      <name val="Calibri"/>
      <family val="2"/>
      <scheme val="minor"/>
    </font>
  </fonts>
  <fills count="12">
    <fill>
      <patternFill patternType="none"/>
    </fill>
    <fill>
      <patternFill patternType="gray125"/>
    </fill>
    <fill>
      <patternFill patternType="solid">
        <fgColor rgb="FFD4E1E2"/>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2"/>
        <bgColor indexed="64"/>
      </patternFill>
    </fill>
    <fill>
      <patternFill patternType="solid">
        <fgColor theme="8"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s>
  <borders count="3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5">
    <xf numFmtId="0" fontId="0" fillId="0" borderId="0"/>
    <xf numFmtId="0" fontId="2" fillId="0" borderId="0"/>
    <xf numFmtId="0" fontId="4" fillId="0" borderId="0" applyNumberFormat="0" applyFill="0" applyBorder="0" applyAlignment="0" applyProtection="0"/>
    <xf numFmtId="0" fontId="19" fillId="0" borderId="0"/>
    <xf numFmtId="9" fontId="34" fillId="0" borderId="0" applyFont="0" applyFill="0" applyBorder="0" applyAlignment="0" applyProtection="0"/>
  </cellStyleXfs>
  <cellXfs count="235">
    <xf numFmtId="0" fontId="0" fillId="0" borderId="0" xfId="0"/>
    <xf numFmtId="0" fontId="2" fillId="0" borderId="0" xfId="1"/>
    <xf numFmtId="0" fontId="2" fillId="9" borderId="0" xfId="1" applyFill="1"/>
    <xf numFmtId="0" fontId="2" fillId="10" borderId="0" xfId="1" applyFill="1"/>
    <xf numFmtId="0" fontId="2" fillId="7" borderId="0" xfId="1" applyFill="1"/>
    <xf numFmtId="0" fontId="5" fillId="7" borderId="0" xfId="1" applyFont="1" applyFill="1" applyAlignment="1">
      <alignment vertical="center" wrapText="1"/>
    </xf>
    <xf numFmtId="0" fontId="6" fillId="7" borderId="0" xfId="1" applyFont="1" applyFill="1" applyAlignment="1">
      <alignment horizontal="center" wrapText="1"/>
    </xf>
    <xf numFmtId="0" fontId="4" fillId="7" borderId="0" xfId="2" applyFill="1" applyAlignment="1">
      <alignment wrapText="1"/>
    </xf>
    <xf numFmtId="0" fontId="2" fillId="7" borderId="0" xfId="1" applyFill="1" applyAlignment="1">
      <alignment wrapText="1"/>
    </xf>
    <xf numFmtId="0" fontId="4" fillId="7" borderId="0" xfId="2" applyFill="1"/>
    <xf numFmtId="0" fontId="3" fillId="7" borderId="0" xfId="1" applyFont="1" applyFill="1"/>
    <xf numFmtId="0" fontId="5" fillId="4" borderId="0" xfId="1" applyFont="1" applyFill="1" applyAlignment="1">
      <alignment vertical="center" wrapText="1"/>
    </xf>
    <xf numFmtId="0" fontId="7" fillId="0" borderId="0" xfId="0" applyFont="1"/>
    <xf numFmtId="0" fontId="0" fillId="7" borderId="0" xfId="0" applyFill="1"/>
    <xf numFmtId="0" fontId="13" fillId="0" borderId="0" xfId="0" applyFont="1" applyAlignment="1">
      <alignment horizontal="center" vertical="center" wrapText="1"/>
    </xf>
    <xf numFmtId="0" fontId="14" fillId="0" borderId="0" xfId="0" applyFont="1" applyAlignment="1">
      <alignment vertical="center" wrapText="1"/>
    </xf>
    <xf numFmtId="0" fontId="13" fillId="0" borderId="0" xfId="0" applyFont="1" applyAlignment="1">
      <alignment vertical="center" wrapText="1"/>
    </xf>
    <xf numFmtId="0" fontId="15" fillId="0" borderId="0" xfId="0" applyFont="1" applyAlignment="1">
      <alignment horizontal="center" vertical="center" wrapText="1"/>
    </xf>
    <xf numFmtId="0" fontId="2" fillId="4" borderId="0" xfId="1" applyFill="1" applyAlignment="1">
      <alignment horizontal="center"/>
    </xf>
    <xf numFmtId="0" fontId="2" fillId="10" borderId="0" xfId="1" applyFill="1" applyAlignment="1">
      <alignment horizontal="center"/>
    </xf>
    <xf numFmtId="0" fontId="17" fillId="10" borderId="0" xfId="1" applyFont="1" applyFill="1" applyAlignment="1">
      <alignment horizontal="left" vertical="center"/>
    </xf>
    <xf numFmtId="0" fontId="18" fillId="10" borderId="0" xfId="1" applyFont="1" applyFill="1" applyAlignment="1">
      <alignment vertical="center" wrapText="1"/>
    </xf>
    <xf numFmtId="0" fontId="11" fillId="10" borderId="7" xfId="1" applyFont="1" applyFill="1" applyBorder="1" applyAlignment="1">
      <alignment horizontal="center" vertical="top"/>
    </xf>
    <xf numFmtId="0" fontId="9" fillId="2" borderId="2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5" xfId="0" applyFont="1" applyFill="1" applyBorder="1" applyAlignment="1">
      <alignment horizontal="center" vertical="center" wrapText="1"/>
    </xf>
    <xf numFmtId="4" fontId="0" fillId="0" borderId="0" xfId="0" applyNumberFormat="1"/>
    <xf numFmtId="4" fontId="9" fillId="0" borderId="5" xfId="0" applyNumberFormat="1" applyFont="1" applyBorder="1" applyAlignment="1">
      <alignment vertical="top" wrapText="1"/>
    </xf>
    <xf numFmtId="4" fontId="9" fillId="0" borderId="5" xfId="0" applyNumberFormat="1" applyFont="1" applyBorder="1" applyAlignment="1">
      <alignment horizontal="left" vertical="top" wrapText="1"/>
    </xf>
    <xf numFmtId="4" fontId="9" fillId="0" borderId="5" xfId="0" applyNumberFormat="1" applyFont="1" applyBorder="1" applyAlignment="1">
      <alignment wrapText="1"/>
    </xf>
    <xf numFmtId="4" fontId="0" fillId="0" borderId="5" xfId="0" applyNumberFormat="1" applyBorder="1"/>
    <xf numFmtId="4" fontId="0" fillId="0" borderId="21" xfId="0" applyNumberFormat="1" applyBorder="1"/>
    <xf numFmtId="164" fontId="0" fillId="0" borderId="0" xfId="0" applyNumberFormat="1"/>
    <xf numFmtId="0" fontId="9" fillId="2" borderId="27"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4" fontId="9" fillId="0" borderId="6" xfId="0" applyNumberFormat="1" applyFont="1" applyBorder="1"/>
    <xf numFmtId="4" fontId="0" fillId="0" borderId="6" xfId="0" applyNumberFormat="1" applyBorder="1"/>
    <xf numFmtId="4" fontId="0" fillId="0" borderId="25" xfId="0" applyNumberFormat="1" applyBorder="1"/>
    <xf numFmtId="4" fontId="9" fillId="0" borderId="8" xfId="0" applyNumberFormat="1" applyFont="1" applyBorder="1" applyAlignment="1">
      <alignment vertical="top" wrapText="1"/>
    </xf>
    <xf numFmtId="4" fontId="9" fillId="0" borderId="23" xfId="0" applyNumberFormat="1" applyFont="1" applyBorder="1"/>
    <xf numFmtId="164" fontId="9" fillId="0" borderId="5" xfId="0" applyNumberFormat="1" applyFont="1" applyBorder="1" applyAlignment="1">
      <alignment horizontal="right"/>
    </xf>
    <xf numFmtId="4" fontId="9" fillId="0" borderId="28" xfId="0" applyNumberFormat="1" applyFont="1" applyBorder="1" applyAlignment="1">
      <alignment vertical="top" wrapText="1"/>
    </xf>
    <xf numFmtId="4" fontId="9" fillId="0" borderId="28" xfId="0" applyNumberFormat="1" applyFont="1" applyBorder="1" applyAlignment="1">
      <alignment horizontal="left" vertical="top" wrapText="1"/>
    </xf>
    <xf numFmtId="4" fontId="9" fillId="0" borderId="28" xfId="0" applyNumberFormat="1" applyFont="1" applyBorder="1" applyAlignment="1">
      <alignment wrapText="1"/>
    </xf>
    <xf numFmtId="4" fontId="0" fillId="0" borderId="28" xfId="0" applyNumberFormat="1" applyBorder="1"/>
    <xf numFmtId="4" fontId="0" fillId="0" borderId="29" xfId="0" applyNumberFormat="1" applyBorder="1"/>
    <xf numFmtId="0" fontId="0" fillId="10" borderId="22" xfId="0" applyFill="1" applyBorder="1"/>
    <xf numFmtId="0" fontId="0" fillId="10" borderId="4" xfId="0" applyFill="1" applyBorder="1"/>
    <xf numFmtId="4" fontId="9" fillId="0" borderId="27" xfId="0" applyNumberFormat="1" applyFont="1" applyBorder="1" applyAlignment="1">
      <alignment vertical="top" wrapText="1"/>
    </xf>
    <xf numFmtId="4" fontId="10" fillId="7" borderId="2" xfId="0" applyNumberFormat="1" applyFont="1" applyFill="1" applyBorder="1" applyAlignment="1">
      <alignment horizontal="center" vertical="center" wrapText="1"/>
    </xf>
    <xf numFmtId="4" fontId="10" fillId="7" borderId="15" xfId="0" applyNumberFormat="1" applyFont="1" applyFill="1" applyBorder="1" applyAlignment="1">
      <alignment horizontal="center" vertical="center" wrapText="1"/>
    </xf>
    <xf numFmtId="4" fontId="10" fillId="7" borderId="10" xfId="0" applyNumberFormat="1" applyFont="1" applyFill="1" applyBorder="1" applyAlignment="1">
      <alignment horizontal="center" vertical="center" wrapText="1"/>
    </xf>
    <xf numFmtId="165" fontId="9" fillId="0" borderId="5" xfId="0" applyNumberFormat="1" applyFont="1" applyBorder="1" applyAlignment="1">
      <alignment horizontal="right"/>
    </xf>
    <xf numFmtId="166" fontId="9" fillId="0" borderId="5" xfId="0" applyNumberFormat="1" applyFont="1" applyBorder="1" applyAlignment="1">
      <alignment horizontal="right"/>
    </xf>
    <xf numFmtId="164" fontId="9" fillId="0" borderId="27" xfId="0" applyNumberFormat="1" applyFont="1" applyBorder="1" applyAlignment="1">
      <alignment vertical="top" wrapText="1"/>
    </xf>
    <xf numFmtId="164" fontId="9" fillId="0" borderId="28" xfId="0" applyNumberFormat="1" applyFont="1" applyBorder="1" applyAlignment="1">
      <alignment horizontal="left" vertical="top" wrapText="1"/>
    </xf>
    <xf numFmtId="164" fontId="9" fillId="0" borderId="28" xfId="0" applyNumberFormat="1" applyFont="1" applyBorder="1" applyAlignment="1">
      <alignment wrapText="1"/>
    </xf>
    <xf numFmtId="164" fontId="9" fillId="0" borderId="28" xfId="0" applyNumberFormat="1" applyFont="1" applyBorder="1" applyAlignment="1">
      <alignment vertical="top" wrapText="1"/>
    </xf>
    <xf numFmtId="164" fontId="0" fillId="0" borderId="28" xfId="0" applyNumberFormat="1" applyBorder="1"/>
    <xf numFmtId="164" fontId="0" fillId="0" borderId="29" xfId="0" applyNumberFormat="1" applyBorder="1"/>
    <xf numFmtId="4" fontId="0" fillId="0" borderId="16" xfId="0" applyNumberFormat="1" applyBorder="1"/>
    <xf numFmtId="0" fontId="9" fillId="0" borderId="8" xfId="0" applyFont="1" applyBorder="1" applyAlignment="1">
      <alignment vertical="top" wrapText="1"/>
    </xf>
    <xf numFmtId="0" fontId="9" fillId="0" borderId="5" xfId="0" applyFont="1" applyBorder="1" applyAlignment="1">
      <alignment horizontal="left" vertical="top" wrapText="1"/>
    </xf>
    <xf numFmtId="0" fontId="9" fillId="0" borderId="5" xfId="0" applyFont="1" applyBorder="1" applyAlignment="1">
      <alignment wrapText="1"/>
    </xf>
    <xf numFmtId="0" fontId="9" fillId="0" borderId="5" xfId="0" applyFont="1" applyBorder="1" applyAlignment="1">
      <alignment vertical="top" wrapText="1"/>
    </xf>
    <xf numFmtId="0" fontId="0" fillId="0" borderId="5" xfId="0" applyBorder="1"/>
    <xf numFmtId="0" fontId="9" fillId="0" borderId="8" xfId="0" applyFont="1" applyBorder="1" applyAlignment="1">
      <alignment vertical="center" wrapText="1"/>
    </xf>
    <xf numFmtId="0" fontId="9" fillId="0" borderId="5" xfId="0" applyFont="1" applyBorder="1" applyAlignment="1">
      <alignment vertical="center" wrapText="1"/>
    </xf>
    <xf numFmtId="0" fontId="9" fillId="0" borderId="5" xfId="0" applyFont="1" applyBorder="1" applyAlignment="1">
      <alignment horizontal="left" wrapText="1"/>
    </xf>
    <xf numFmtId="0" fontId="9" fillId="0" borderId="5" xfId="0" applyFont="1" applyBorder="1" applyAlignment="1">
      <alignment horizontal="left" vertical="center" wrapText="1"/>
    </xf>
    <xf numFmtId="0" fontId="9" fillId="0" borderId="27" xfId="0" applyFont="1" applyBorder="1" applyAlignment="1">
      <alignment vertical="top" wrapText="1"/>
    </xf>
    <xf numFmtId="0" fontId="9" fillId="0" borderId="28" xfId="0" applyFont="1" applyBorder="1" applyAlignment="1">
      <alignment horizontal="left" vertical="top" wrapText="1"/>
    </xf>
    <xf numFmtId="0" fontId="9" fillId="0" borderId="28" xfId="0" applyFont="1" applyBorder="1" applyAlignment="1">
      <alignment wrapText="1"/>
    </xf>
    <xf numFmtId="0" fontId="9" fillId="0" borderId="28" xfId="0" applyFont="1" applyBorder="1" applyAlignment="1">
      <alignment vertical="top" wrapText="1"/>
    </xf>
    <xf numFmtId="0" fontId="0" fillId="0" borderId="28" xfId="0" applyBorder="1"/>
    <xf numFmtId="0" fontId="0" fillId="0" borderId="29" xfId="0" applyBorder="1"/>
    <xf numFmtId="0" fontId="9" fillId="10" borderId="5" xfId="0" applyFont="1" applyFill="1" applyBorder="1" applyAlignment="1">
      <alignment horizontal="center" vertical="center" wrapText="1"/>
    </xf>
    <xf numFmtId="0" fontId="24" fillId="10" borderId="0" xfId="1" applyFont="1" applyFill="1" applyAlignment="1">
      <alignment horizontal="left" vertical="top" wrapText="1"/>
    </xf>
    <xf numFmtId="0" fontId="0" fillId="0" borderId="0" xfId="0" applyAlignment="1">
      <alignment horizontal="left" vertical="top" wrapText="1"/>
    </xf>
    <xf numFmtId="0" fontId="4" fillId="10" borderId="0" xfId="2" applyFill="1" applyAlignment="1">
      <alignment horizontal="left" vertical="top" wrapText="1"/>
    </xf>
    <xf numFmtId="0" fontId="4" fillId="0" borderId="0" xfId="2" applyAlignment="1">
      <alignment horizontal="left" vertical="top" wrapText="1"/>
    </xf>
    <xf numFmtId="165" fontId="0" fillId="0" borderId="0" xfId="0" applyNumberFormat="1"/>
    <xf numFmtId="166" fontId="0" fillId="0" borderId="0" xfId="0" applyNumberFormat="1"/>
    <xf numFmtId="168" fontId="0" fillId="0" borderId="0" xfId="0" applyNumberFormat="1"/>
    <xf numFmtId="0" fontId="11" fillId="0" borderId="0" xfId="0" applyFont="1" applyAlignment="1">
      <alignment horizontal="left" vertical="top" wrapText="1"/>
    </xf>
    <xf numFmtId="0" fontId="32" fillId="10" borderId="0" xfId="1" applyFont="1" applyFill="1" applyAlignment="1">
      <alignment vertical="center" wrapText="1"/>
    </xf>
    <xf numFmtId="0" fontId="0" fillId="7" borderId="0" xfId="1" applyFont="1" applyFill="1"/>
    <xf numFmtId="0" fontId="0" fillId="4" borderId="0" xfId="1" applyFont="1" applyFill="1" applyAlignment="1">
      <alignment horizontal="center"/>
    </xf>
    <xf numFmtId="0" fontId="0" fillId="10" borderId="0" xfId="1" applyFont="1" applyFill="1" applyAlignment="1">
      <alignment horizontal="center"/>
    </xf>
    <xf numFmtId="0" fontId="31" fillId="11" borderId="31" xfId="0" applyFont="1" applyFill="1" applyBorder="1" applyAlignment="1">
      <alignment horizontal="justify" vertical="center" wrapText="1"/>
    </xf>
    <xf numFmtId="0" fontId="31" fillId="11" borderId="32" xfId="0" applyFont="1" applyFill="1" applyBorder="1" applyAlignment="1">
      <alignment horizontal="justify" vertical="center" wrapText="1"/>
    </xf>
    <xf numFmtId="0" fontId="31" fillId="11" borderId="31" xfId="0" applyFont="1" applyFill="1" applyBorder="1" applyAlignment="1">
      <alignment horizontal="left" vertical="center" wrapText="1"/>
    </xf>
    <xf numFmtId="0" fontId="11" fillId="10" borderId="0" xfId="1" applyFont="1" applyFill="1" applyAlignment="1">
      <alignment horizontal="center" vertical="top"/>
    </xf>
    <xf numFmtId="0" fontId="0" fillId="0" borderId="0" xfId="0" applyAlignment="1">
      <alignment vertical="top"/>
    </xf>
    <xf numFmtId="0" fontId="33" fillId="10" borderId="0" xfId="1" applyFont="1" applyFill="1" applyAlignment="1">
      <alignment vertical="top" wrapText="1"/>
    </xf>
    <xf numFmtId="0" fontId="7" fillId="11" borderId="5" xfId="1" applyFont="1" applyFill="1" applyBorder="1" applyAlignment="1">
      <alignment vertical="center" wrapText="1"/>
    </xf>
    <xf numFmtId="0" fontId="7" fillId="11" borderId="5" xfId="1" applyFont="1" applyFill="1" applyBorder="1" applyAlignment="1">
      <alignment horizontal="center" vertical="center" wrapText="1"/>
    </xf>
    <xf numFmtId="0" fontId="7" fillId="11" borderId="5" xfId="1" applyFont="1" applyFill="1" applyBorder="1" applyAlignment="1">
      <alignment horizontal="left" vertical="center"/>
    </xf>
    <xf numFmtId="9" fontId="1" fillId="11" borderId="5" xfId="4" applyFont="1" applyFill="1" applyBorder="1" applyAlignment="1">
      <alignment horizontal="center" vertical="center"/>
    </xf>
    <xf numFmtId="9" fontId="0" fillId="11" borderId="5" xfId="4" applyFont="1" applyFill="1" applyBorder="1" applyAlignment="1">
      <alignment horizontal="center" vertical="center"/>
    </xf>
    <xf numFmtId="0" fontId="1" fillId="10" borderId="0" xfId="1" applyFont="1" applyFill="1" applyAlignment="1">
      <alignment horizontal="left" vertical="top" wrapText="1"/>
    </xf>
    <xf numFmtId="0" fontId="1" fillId="11" borderId="5" xfId="1" applyFont="1" applyFill="1" applyBorder="1" applyAlignment="1">
      <alignment horizontal="right" wrapText="1"/>
    </xf>
    <xf numFmtId="0" fontId="1" fillId="11" borderId="24" xfId="1" applyFont="1" applyFill="1" applyBorder="1" applyAlignment="1">
      <alignment horizontal="right" wrapText="1"/>
    </xf>
    <xf numFmtId="164" fontId="1" fillId="11" borderId="5" xfId="1" applyNumberFormat="1" applyFont="1" applyFill="1" applyBorder="1" applyAlignment="1">
      <alignment horizontal="right" wrapText="1"/>
    </xf>
    <xf numFmtId="164" fontId="1" fillId="11" borderId="24" xfId="1" applyNumberFormat="1" applyFont="1" applyFill="1" applyBorder="1" applyAlignment="1">
      <alignment horizontal="right" wrapText="1"/>
    </xf>
    <xf numFmtId="164" fontId="1" fillId="11" borderId="33" xfId="1" applyNumberFormat="1" applyFont="1" applyFill="1" applyBorder="1" applyAlignment="1">
      <alignment horizontal="right" wrapText="1"/>
    </xf>
    <xf numFmtId="164" fontId="1" fillId="11" borderId="34" xfId="1" applyNumberFormat="1" applyFont="1" applyFill="1" applyBorder="1" applyAlignment="1">
      <alignment horizontal="right" wrapText="1"/>
    </xf>
    <xf numFmtId="0" fontId="1" fillId="7" borderId="0" xfId="1" applyFont="1" applyFill="1"/>
    <xf numFmtId="0" fontId="1" fillId="10" borderId="0" xfId="1" applyFont="1" applyFill="1"/>
    <xf numFmtId="0" fontId="1" fillId="0" borderId="0" xfId="0" applyFont="1"/>
    <xf numFmtId="0" fontId="36" fillId="11" borderId="0" xfId="0" applyFont="1" applyFill="1"/>
    <xf numFmtId="0" fontId="37" fillId="11" borderId="5" xfId="0" applyFont="1" applyFill="1" applyBorder="1" applyAlignment="1">
      <alignment horizontal="center" vertical="center" wrapText="1"/>
    </xf>
    <xf numFmtId="165" fontId="36" fillId="11" borderId="0" xfId="0" applyNumberFormat="1" applyFont="1" applyFill="1"/>
    <xf numFmtId="168" fontId="36" fillId="11" borderId="0" xfId="0" applyNumberFormat="1" applyFont="1" applyFill="1"/>
    <xf numFmtId="167" fontId="36" fillId="11" borderId="0" xfId="0" applyNumberFormat="1" applyFont="1" applyFill="1"/>
    <xf numFmtId="0" fontId="10" fillId="10" borderId="5" xfId="0" applyFont="1" applyFill="1" applyBorder="1" applyAlignment="1">
      <alignment horizontal="center" vertical="center" wrapText="1"/>
    </xf>
    <xf numFmtId="0" fontId="0" fillId="0" borderId="0" xfId="0" applyAlignment="1">
      <alignment horizontal="left"/>
    </xf>
    <xf numFmtId="0" fontId="10" fillId="10" borderId="5" xfId="0" applyFont="1" applyFill="1" applyBorder="1" applyAlignment="1">
      <alignment horizontal="left" vertical="center" wrapText="1"/>
    </xf>
    <xf numFmtId="0" fontId="9" fillId="10" borderId="5" xfId="0" applyFont="1" applyFill="1" applyBorder="1" applyAlignment="1">
      <alignment horizontal="left" vertical="center" wrapText="1"/>
    </xf>
    <xf numFmtId="0" fontId="17" fillId="10" borderId="5" xfId="2" applyFont="1" applyFill="1" applyBorder="1" applyAlignment="1">
      <alignment horizontal="center" vertical="top" wrapText="1"/>
    </xf>
    <xf numFmtId="0" fontId="38" fillId="10" borderId="5" xfId="2" applyFont="1" applyFill="1" applyBorder="1" applyAlignment="1">
      <alignment horizontal="center" vertical="top" wrapText="1"/>
    </xf>
    <xf numFmtId="0" fontId="0" fillId="0" borderId="0" xfId="0" applyAlignment="1">
      <alignment horizontal="center" vertical="center"/>
    </xf>
    <xf numFmtId="0" fontId="22" fillId="10" borderId="5" xfId="0" applyFont="1" applyFill="1" applyBorder="1" applyAlignment="1">
      <alignment horizontal="center" vertical="center" wrapText="1"/>
    </xf>
    <xf numFmtId="169" fontId="0" fillId="0" borderId="0" xfId="0" applyNumberFormat="1"/>
    <xf numFmtId="0" fontId="40" fillId="0" borderId="0" xfId="0" applyFont="1"/>
    <xf numFmtId="0" fontId="36" fillId="11" borderId="0" xfId="0" applyFont="1" applyFill="1" applyAlignment="1">
      <alignment horizontal="center"/>
    </xf>
    <xf numFmtId="0" fontId="9" fillId="0" borderId="5" xfId="0" applyFont="1" applyBorder="1" applyAlignment="1">
      <alignment horizontal="center" vertical="center" wrapText="1"/>
    </xf>
    <xf numFmtId="0" fontId="0" fillId="10" borderId="0" xfId="0" applyFill="1"/>
    <xf numFmtId="0" fontId="36" fillId="11" borderId="0" xfId="0" applyFont="1" applyFill="1" applyAlignment="1">
      <alignment horizontal="center" vertical="center"/>
    </xf>
    <xf numFmtId="164" fontId="9" fillId="10" borderId="5" xfId="0" applyNumberFormat="1" applyFont="1" applyFill="1" applyBorder="1" applyAlignment="1">
      <alignment horizontal="right"/>
    </xf>
    <xf numFmtId="0" fontId="42" fillId="0" borderId="0" xfId="0" applyFont="1"/>
    <xf numFmtId="164" fontId="36" fillId="11" borderId="0" xfId="0" applyNumberFormat="1" applyFont="1" applyFill="1" applyAlignment="1">
      <alignment horizontal="center" vertical="center"/>
    </xf>
    <xf numFmtId="4" fontId="36" fillId="11" borderId="0" xfId="0" applyNumberFormat="1" applyFont="1" applyFill="1" applyAlignment="1">
      <alignment horizontal="center" vertical="center"/>
    </xf>
    <xf numFmtId="0" fontId="43" fillId="0" borderId="0" xfId="0" applyFont="1"/>
    <xf numFmtId="0" fontId="9" fillId="2" borderId="5" xfId="0" applyFont="1" applyFill="1" applyBorder="1" applyAlignment="1">
      <alignment horizontal="center" vertical="center" wrapText="1"/>
    </xf>
    <xf numFmtId="164" fontId="9" fillId="0" borderId="5" xfId="0" applyNumberFormat="1" applyFont="1" applyBorder="1" applyAlignment="1">
      <alignment horizontal="center" vertical="center"/>
    </xf>
    <xf numFmtId="165" fontId="41" fillId="0" borderId="5" xfId="0" applyNumberFormat="1" applyFont="1" applyBorder="1" applyAlignment="1">
      <alignment horizontal="right"/>
    </xf>
    <xf numFmtId="0" fontId="10" fillId="11" borderId="5" xfId="0" applyFont="1" applyFill="1" applyBorder="1" applyAlignment="1">
      <alignment horizontal="center" vertical="center" wrapText="1"/>
    </xf>
    <xf numFmtId="165" fontId="9" fillId="10" borderId="5" xfId="0" applyNumberFormat="1" applyFont="1" applyFill="1" applyBorder="1" applyAlignment="1">
      <alignment horizontal="right"/>
    </xf>
    <xf numFmtId="166" fontId="9" fillId="10" borderId="5" xfId="0" applyNumberFormat="1" applyFont="1" applyFill="1" applyBorder="1" applyAlignment="1">
      <alignment horizontal="right"/>
    </xf>
    <xf numFmtId="165" fontId="0" fillId="10" borderId="0" xfId="0" applyNumberFormat="1" applyFill="1"/>
    <xf numFmtId="168" fontId="9" fillId="0" borderId="5" xfId="0" applyNumberFormat="1" applyFont="1" applyBorder="1" applyAlignment="1">
      <alignment horizontal="center"/>
    </xf>
    <xf numFmtId="168" fontId="0" fillId="0" borderId="0" xfId="0" applyNumberFormat="1" applyAlignment="1">
      <alignment horizontal="center"/>
    </xf>
    <xf numFmtId="168" fontId="9" fillId="10" borderId="5" xfId="0" applyNumberFormat="1" applyFont="1" applyFill="1" applyBorder="1" applyAlignment="1">
      <alignment horizontal="center"/>
    </xf>
    <xf numFmtId="0" fontId="1" fillId="11" borderId="0" xfId="0" applyFont="1" applyFill="1"/>
    <xf numFmtId="164" fontId="22" fillId="11" borderId="5" xfId="0" applyNumberFormat="1" applyFont="1" applyFill="1" applyBorder="1" applyAlignment="1">
      <alignment horizontal="center" vertical="center" wrapText="1"/>
    </xf>
    <xf numFmtId="14" fontId="44" fillId="11" borderId="5" xfId="0" applyNumberFormat="1" applyFont="1" applyFill="1" applyBorder="1" applyAlignment="1">
      <alignment horizontal="center" wrapText="1"/>
    </xf>
    <xf numFmtId="164" fontId="22" fillId="11" borderId="5" xfId="0" applyNumberFormat="1" applyFont="1" applyFill="1" applyBorder="1" applyAlignment="1">
      <alignment horizontal="center" wrapText="1"/>
    </xf>
    <xf numFmtId="14" fontId="22" fillId="11" borderId="5" xfId="0" applyNumberFormat="1" applyFont="1" applyFill="1" applyBorder="1" applyAlignment="1">
      <alignment horizontal="center" wrapText="1"/>
    </xf>
    <xf numFmtId="164" fontId="22" fillId="11" borderId="5" xfId="0" applyNumberFormat="1" applyFont="1" applyFill="1" applyBorder="1" applyAlignment="1">
      <alignment horizontal="center"/>
    </xf>
    <xf numFmtId="164" fontId="39" fillId="10" borderId="5" xfId="0" applyNumberFormat="1" applyFont="1" applyFill="1" applyBorder="1" applyAlignment="1">
      <alignment horizontal="right"/>
    </xf>
    <xf numFmtId="165" fontId="41" fillId="0" borderId="5" xfId="0" applyNumberFormat="1" applyFont="1" applyBorder="1" applyAlignment="1">
      <alignment horizontal="center"/>
    </xf>
    <xf numFmtId="0" fontId="45" fillId="10" borderId="7" xfId="0" applyFont="1" applyFill="1" applyBorder="1"/>
    <xf numFmtId="164" fontId="22" fillId="11" borderId="5" xfId="0" applyNumberFormat="1" applyFont="1" applyFill="1" applyBorder="1" applyAlignment="1">
      <alignment horizontal="center" vertical="center"/>
    </xf>
    <xf numFmtId="14" fontId="44" fillId="11" borderId="5" xfId="0" applyNumberFormat="1" applyFont="1" applyFill="1" applyBorder="1" applyAlignment="1">
      <alignment horizontal="center"/>
    </xf>
    <xf numFmtId="14" fontId="44" fillId="11" borderId="5" xfId="0" applyNumberFormat="1" applyFont="1" applyFill="1" applyBorder="1"/>
    <xf numFmtId="165" fontId="22" fillId="11" borderId="5" xfId="0" applyNumberFormat="1" applyFont="1" applyFill="1" applyBorder="1" applyAlignment="1">
      <alignment horizontal="center" vertical="center" wrapText="1"/>
    </xf>
    <xf numFmtId="164" fontId="22" fillId="11" borderId="5" xfId="0" applyNumberFormat="1" applyFont="1" applyFill="1" applyBorder="1" applyAlignment="1">
      <alignment horizontal="right" wrapText="1"/>
    </xf>
    <xf numFmtId="165" fontId="22" fillId="11" borderId="5" xfId="0" applyNumberFormat="1" applyFont="1" applyFill="1" applyBorder="1" applyAlignment="1">
      <alignment horizontal="right"/>
    </xf>
    <xf numFmtId="164" fontId="22" fillId="11" borderId="5" xfId="0" applyNumberFormat="1" applyFont="1" applyFill="1" applyBorder="1" applyAlignment="1">
      <alignment horizontal="right"/>
    </xf>
    <xf numFmtId="10" fontId="22" fillId="11" borderId="5" xfId="0" applyNumberFormat="1" applyFont="1" applyFill="1" applyBorder="1" applyAlignment="1">
      <alignment horizontal="right"/>
    </xf>
    <xf numFmtId="0" fontId="22" fillId="11" borderId="5" xfId="0" applyFont="1" applyFill="1" applyBorder="1" applyAlignment="1">
      <alignment horizontal="right"/>
    </xf>
    <xf numFmtId="164" fontId="46" fillId="11" borderId="5" xfId="0" applyNumberFormat="1" applyFont="1" applyFill="1" applyBorder="1" applyAlignment="1">
      <alignment horizontal="center" vertical="center" wrapText="1"/>
    </xf>
    <xf numFmtId="0" fontId="3" fillId="10" borderId="5" xfId="0" applyFont="1" applyFill="1" applyBorder="1"/>
    <xf numFmtId="0" fontId="22" fillId="10" borderId="5" xfId="0" applyFont="1" applyFill="1" applyBorder="1" applyAlignment="1">
      <alignment horizontal="left" vertical="center" wrapText="1"/>
    </xf>
    <xf numFmtId="165" fontId="39" fillId="10" borderId="5" xfId="0" applyNumberFormat="1" applyFont="1" applyFill="1" applyBorder="1" applyAlignment="1">
      <alignment horizontal="center" vertical="center" wrapText="1"/>
    </xf>
    <xf numFmtId="0" fontId="22" fillId="7" borderId="5" xfId="0" applyFont="1" applyFill="1" applyBorder="1" applyAlignment="1">
      <alignment horizontal="center" vertical="center" wrapText="1"/>
    </xf>
    <xf numFmtId="0" fontId="22" fillId="11" borderId="5" xfId="0" applyFont="1" applyFill="1" applyBorder="1" applyAlignment="1">
      <alignment horizontal="center" vertical="center" wrapText="1"/>
    </xf>
    <xf numFmtId="14" fontId="22" fillId="0" borderId="5" xfId="0" applyNumberFormat="1" applyFont="1" applyBorder="1" applyAlignment="1">
      <alignment horizontal="center" vertical="center"/>
    </xf>
    <xf numFmtId="0" fontId="22" fillId="0" borderId="5" xfId="0" applyFont="1" applyBorder="1" applyAlignment="1">
      <alignment horizontal="center" vertical="center"/>
    </xf>
    <xf numFmtId="0" fontId="18" fillId="0" borderId="5" xfId="2" applyFont="1" applyFill="1" applyBorder="1" applyAlignment="1">
      <alignment horizontal="center" vertical="center" wrapText="1"/>
    </xf>
    <xf numFmtId="0" fontId="3" fillId="0" borderId="0" xfId="0" applyFont="1" applyAlignment="1">
      <alignment horizontal="center" vertical="center"/>
    </xf>
    <xf numFmtId="164" fontId="22" fillId="0" borderId="5" xfId="0" applyNumberFormat="1" applyFont="1" applyBorder="1" applyAlignment="1">
      <alignment horizontal="center" vertical="center" wrapText="1"/>
    </xf>
    <xf numFmtId="0" fontId="20" fillId="6" borderId="5" xfId="0" applyFont="1" applyFill="1" applyBorder="1" applyAlignment="1">
      <alignment horizontal="center" vertical="center"/>
    </xf>
    <xf numFmtId="164" fontId="22" fillId="7" borderId="5" xfId="0" applyNumberFormat="1" applyFont="1" applyFill="1" applyBorder="1" applyAlignment="1">
      <alignment horizontal="center" vertical="center" wrapText="1"/>
    </xf>
    <xf numFmtId="0" fontId="20" fillId="5" borderId="5" xfId="0" applyFont="1" applyFill="1" applyBorder="1" applyAlignment="1">
      <alignment horizontal="center" vertical="center"/>
    </xf>
    <xf numFmtId="0" fontId="20" fillId="8" borderId="5" xfId="0" applyFont="1" applyFill="1" applyBorder="1" applyAlignment="1">
      <alignment horizontal="center" vertical="center" wrapText="1"/>
    </xf>
    <xf numFmtId="0" fontId="22" fillId="7" borderId="5" xfId="0" applyFont="1" applyFill="1" applyBorder="1" applyAlignment="1">
      <alignment horizontal="center" vertical="center" wrapText="1"/>
    </xf>
    <xf numFmtId="0" fontId="22" fillId="11" borderId="5" xfId="0" applyFont="1" applyFill="1" applyBorder="1" applyAlignment="1">
      <alignment horizontal="center" vertical="center" wrapText="1"/>
    </xf>
    <xf numFmtId="164" fontId="46" fillId="7" borderId="5" xfId="0" applyNumberFormat="1" applyFont="1" applyFill="1" applyBorder="1" applyAlignment="1">
      <alignment horizontal="center" vertical="center" wrapText="1"/>
    </xf>
    <xf numFmtId="4" fontId="46" fillId="7" borderId="5" xfId="0" applyNumberFormat="1" applyFont="1" applyFill="1" applyBorder="1" applyAlignment="1">
      <alignment horizontal="center" vertical="top" wrapText="1"/>
    </xf>
    <xf numFmtId="164" fontId="22" fillId="7" borderId="35" xfId="0" applyNumberFormat="1" applyFont="1" applyFill="1" applyBorder="1" applyAlignment="1">
      <alignment horizontal="center" vertical="center" wrapText="1"/>
    </xf>
    <xf numFmtId="164" fontId="22" fillId="7" borderId="15" xfId="0" applyNumberFormat="1" applyFont="1" applyFill="1" applyBorder="1" applyAlignment="1">
      <alignment horizontal="center" vertical="center" wrapText="1"/>
    </xf>
    <xf numFmtId="164" fontId="22" fillId="7" borderId="8" xfId="0" applyNumberFormat="1" applyFont="1" applyFill="1" applyBorder="1" applyAlignment="1">
      <alignment horizontal="center" vertical="center" wrapText="1"/>
    </xf>
    <xf numFmtId="0" fontId="28" fillId="0" borderId="8" xfId="0" applyFont="1" applyBorder="1" applyAlignment="1">
      <alignment horizontal="center" vertical="center"/>
    </xf>
    <xf numFmtId="0" fontId="0" fillId="0" borderId="5" xfId="0" applyBorder="1" applyAlignment="1">
      <alignment horizontal="center" vertical="center"/>
    </xf>
    <xf numFmtId="4" fontId="22" fillId="7" borderId="5" xfId="0" applyNumberFormat="1" applyFont="1" applyFill="1" applyBorder="1" applyAlignment="1">
      <alignment horizontal="center" vertical="center" wrapText="1"/>
    </xf>
    <xf numFmtId="4" fontId="46" fillId="7" borderId="5" xfId="0" applyNumberFormat="1" applyFont="1" applyFill="1" applyBorder="1" applyAlignment="1">
      <alignment horizontal="center" vertical="center" wrapText="1"/>
    </xf>
    <xf numFmtId="164" fontId="46" fillId="11" borderId="5" xfId="0" applyNumberFormat="1" applyFont="1" applyFill="1" applyBorder="1" applyAlignment="1">
      <alignment horizontal="center" vertical="center" wrapText="1"/>
    </xf>
    <xf numFmtId="0" fontId="47" fillId="11" borderId="5" xfId="0" applyFont="1" applyFill="1" applyBorder="1" applyAlignment="1">
      <alignment horizontal="center" vertical="center" wrapText="1"/>
    </xf>
    <xf numFmtId="0" fontId="3" fillId="0" borderId="5" xfId="0" applyFont="1" applyBorder="1" applyAlignment="1">
      <alignment horizontal="center" vertical="center" wrapText="1"/>
    </xf>
    <xf numFmtId="164" fontId="22" fillId="11" borderId="5" xfId="0" applyNumberFormat="1" applyFont="1" applyFill="1" applyBorder="1" applyAlignment="1">
      <alignment horizontal="center" vertical="center" wrapText="1"/>
    </xf>
    <xf numFmtId="0" fontId="3" fillId="11" borderId="5" xfId="0" applyFont="1" applyFill="1" applyBorder="1" applyAlignment="1">
      <alignment horizontal="center" vertical="center" wrapText="1"/>
    </xf>
    <xf numFmtId="0" fontId="24" fillId="10" borderId="0" xfId="1" applyFont="1" applyFill="1" applyAlignment="1">
      <alignment horizontal="left" vertical="top" wrapText="1"/>
    </xf>
    <xf numFmtId="0" fontId="0" fillId="0" borderId="0" xfId="0" applyAlignment="1">
      <alignment horizontal="left" vertical="top" wrapText="1"/>
    </xf>
    <xf numFmtId="0" fontId="21" fillId="10" borderId="0" xfId="1" applyFont="1" applyFill="1" applyAlignment="1">
      <alignment horizontal="center" vertical="center" wrapText="1"/>
    </xf>
    <xf numFmtId="0" fontId="0" fillId="0" borderId="0" xfId="0" applyAlignment="1">
      <alignment horizontal="center" vertical="center" wrapText="1"/>
    </xf>
    <xf numFmtId="0" fontId="12" fillId="10" borderId="0" xfId="1" applyFont="1" applyFill="1" applyAlignment="1">
      <alignment horizontal="center" vertical="center" wrapText="1"/>
    </xf>
    <xf numFmtId="0" fontId="2" fillId="4" borderId="0" xfId="1" applyFill="1" applyAlignment="1">
      <alignment horizontal="center"/>
    </xf>
    <xf numFmtId="0" fontId="2" fillId="7" borderId="0" xfId="1" applyFill="1" applyAlignment="1">
      <alignment horizontal="center"/>
    </xf>
    <xf numFmtId="0" fontId="1" fillId="10" borderId="0" xfId="1" applyFont="1" applyFill="1" applyAlignment="1">
      <alignment horizontal="left" vertical="top" wrapText="1"/>
    </xf>
    <xf numFmtId="0" fontId="4" fillId="10" borderId="0" xfId="2" applyFill="1" applyAlignment="1">
      <alignment horizontal="left" vertical="top" wrapText="1"/>
    </xf>
    <xf numFmtId="0" fontId="4" fillId="0" borderId="0" xfId="2" applyAlignment="1">
      <alignment horizontal="left" vertical="top" wrapText="1"/>
    </xf>
    <xf numFmtId="0" fontId="29" fillId="10" borderId="0" xfId="1" applyFont="1" applyFill="1" applyAlignment="1">
      <alignment horizontal="left" vertical="top" wrapText="1"/>
    </xf>
    <xf numFmtId="0" fontId="30" fillId="0" borderId="0" xfId="0" applyFont="1" applyAlignment="1">
      <alignment horizontal="left" vertical="top" wrapText="1"/>
    </xf>
    <xf numFmtId="0" fontId="36" fillId="10" borderId="0" xfId="1" applyFont="1" applyFill="1" applyAlignment="1">
      <alignment horizontal="left" vertical="top" wrapText="1"/>
    </xf>
    <xf numFmtId="0" fontId="36" fillId="0" borderId="0" xfId="0" applyFont="1"/>
    <xf numFmtId="0" fontId="35" fillId="11" borderId="5" xfId="0" applyFont="1" applyFill="1" applyBorder="1" applyAlignment="1">
      <alignment horizontal="justify" vertical="center" wrapText="1"/>
    </xf>
    <xf numFmtId="0" fontId="7" fillId="11" borderId="5" xfId="0" applyFont="1" applyFill="1" applyBorder="1" applyAlignment="1">
      <alignment horizontal="justify" vertical="center" wrapText="1"/>
    </xf>
    <xf numFmtId="0" fontId="11" fillId="10" borderId="13" xfId="1" applyFont="1" applyFill="1" applyBorder="1" applyAlignment="1">
      <alignment horizontal="center" vertical="top"/>
    </xf>
    <xf numFmtId="0" fontId="0" fillId="0" borderId="11" xfId="0" applyBorder="1" applyAlignment="1">
      <alignment vertical="top"/>
    </xf>
    <xf numFmtId="0" fontId="1" fillId="11" borderId="26" xfId="1" applyFont="1" applyFill="1" applyBorder="1" applyAlignment="1">
      <alignment horizontal="center" wrapText="1"/>
    </xf>
    <xf numFmtId="0" fontId="1" fillId="11" borderId="0" xfId="1" applyFont="1" applyFill="1" applyAlignment="1">
      <alignment horizontal="center" wrapText="1"/>
    </xf>
    <xf numFmtId="0" fontId="0" fillId="0" borderId="17" xfId="0" applyBorder="1" applyAlignment="1">
      <alignment wrapText="1"/>
    </xf>
    <xf numFmtId="0" fontId="1" fillId="11" borderId="5" xfId="1" applyFont="1" applyFill="1" applyBorder="1" applyAlignment="1">
      <alignment horizontal="left" vertical="center" wrapText="1"/>
    </xf>
    <xf numFmtId="0" fontId="0" fillId="0" borderId="5" xfId="0" applyBorder="1"/>
    <xf numFmtId="4" fontId="20" fillId="3" borderId="13" xfId="0" applyNumberFormat="1" applyFont="1" applyFill="1" applyBorder="1" applyAlignment="1">
      <alignment horizontal="center" vertical="center"/>
    </xf>
    <xf numFmtId="4" fontId="20" fillId="3" borderId="12" xfId="0" applyNumberFormat="1" applyFont="1" applyFill="1" applyBorder="1" applyAlignment="1">
      <alignment horizontal="center" vertical="center"/>
    </xf>
    <xf numFmtId="4" fontId="10" fillId="7" borderId="2" xfId="0" applyNumberFormat="1" applyFont="1" applyFill="1" applyBorder="1" applyAlignment="1">
      <alignment horizontal="center" vertical="center" wrapText="1"/>
    </xf>
    <xf numFmtId="4" fontId="10" fillId="7" borderId="15" xfId="0" applyNumberFormat="1" applyFont="1" applyFill="1" applyBorder="1" applyAlignment="1">
      <alignment horizontal="center" vertical="center" wrapText="1"/>
    </xf>
    <xf numFmtId="4" fontId="10" fillId="7" borderId="10" xfId="0" applyNumberFormat="1" applyFont="1" applyFill="1" applyBorder="1" applyAlignment="1">
      <alignment horizontal="center" vertical="center" wrapText="1"/>
    </xf>
    <xf numFmtId="0" fontId="9" fillId="0" borderId="3"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2"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0" xfId="0" applyFont="1" applyBorder="1" applyAlignment="1">
      <alignment horizontal="center" vertical="center" wrapText="1"/>
    </xf>
    <xf numFmtId="4" fontId="10" fillId="7" borderId="1" xfId="0" applyNumberFormat="1" applyFont="1" applyFill="1" applyBorder="1" applyAlignment="1">
      <alignment horizontal="center" vertical="center" wrapText="1"/>
    </xf>
    <xf numFmtId="4" fontId="10" fillId="7" borderId="14" xfId="0" applyNumberFormat="1" applyFont="1" applyFill="1" applyBorder="1" applyAlignment="1">
      <alignment horizontal="center" vertical="center" wrapText="1"/>
    </xf>
    <xf numFmtId="4" fontId="10" fillId="7" borderId="9" xfId="0" applyNumberFormat="1"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30" xfId="0" applyFont="1" applyFill="1" applyBorder="1" applyAlignment="1">
      <alignment horizontal="center" vertical="center" wrapText="1"/>
    </xf>
    <xf numFmtId="164" fontId="10" fillId="7" borderId="5" xfId="0" applyNumberFormat="1" applyFont="1" applyFill="1" applyBorder="1" applyAlignment="1">
      <alignment horizontal="center" vertical="center" wrapText="1"/>
    </xf>
    <xf numFmtId="4" fontId="10" fillId="7" borderId="5" xfId="0" applyNumberFormat="1" applyFont="1" applyFill="1" applyBorder="1" applyAlignment="1">
      <alignment horizontal="center" vertical="center" wrapText="1"/>
    </xf>
  </cellXfs>
  <cellStyles count="5">
    <cellStyle name="Hiperłącze" xfId="2" builtinId="8"/>
    <cellStyle name="Normal 2" xfId="3" xr:uid="{02889D1E-0059-463B-84FF-A296EF478A52}"/>
    <cellStyle name="Normálna 2" xfId="1" xr:uid="{00000000-0005-0000-0000-000002000000}"/>
    <cellStyle name="Normalny" xfId="0" builtinId="0"/>
    <cellStyle name="Procentowy" xfId="4" builtinId="5"/>
  </cellStyles>
  <dxfs count="9">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123824</xdr:colOff>
      <xdr:row>1</xdr:row>
      <xdr:rowOff>76201</xdr:rowOff>
    </xdr:from>
    <xdr:to>
      <xdr:col>2</xdr:col>
      <xdr:colOff>311150</xdr:colOff>
      <xdr:row>3</xdr:row>
      <xdr:rowOff>65436</xdr:rowOff>
    </xdr:to>
    <xdr:pic>
      <xdr:nvPicPr>
        <xdr:cNvPr id="11" name="Picture 10">
          <a:extLst>
            <a:ext uri="{FF2B5EF4-FFF2-40B4-BE49-F238E27FC236}">
              <a16:creationId xmlns:a16="http://schemas.microsoft.com/office/drawing/2014/main" id="{5AEDB85E-CE33-DE09-DCDC-33411B8D06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49" y="266701"/>
          <a:ext cx="1714501" cy="107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30B633-5E2F-472A-A49B-8C39D73A10A5}" name="Table1" displayName="Table1" ref="B3:C17" totalsRowShown="0" dataDxfId="8">
  <autoFilter ref="B3:C17" xr:uid="{0B30B633-5E2F-472A-A49B-8C39D73A10A5}"/>
  <tableColumns count="2">
    <tableColumn id="1" xr3:uid="{24C783F3-255A-4466-8F6E-B1F49D9ABF06}" name="Column1" dataDxfId="7"/>
    <tableColumn id="2" xr3:uid="{3EA260EB-EA2B-48FD-B7FF-CB19C306BA16}" name="Column2" dataDxfId="6"/>
  </tableColumns>
  <tableStyleInfo name="TableStyleMedium2"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LIMA-MODFUND@ec.europa.eu" TargetMode="External"/><Relationship Id="rId1" Type="http://schemas.openxmlformats.org/officeDocument/2006/relationships/hyperlink" Target="mailto:Modernisation-fund@eib.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pl/web/funduszmodernizacyjny/Programy-Priorytetowe" TargetMode="External"/><Relationship Id="rId13" Type="http://schemas.openxmlformats.org/officeDocument/2006/relationships/hyperlink" Target="https://www.gov.pl/web/funduszmodernizacyjny/Programy-Priorytetowe" TargetMode="External"/><Relationship Id="rId18" Type="http://schemas.openxmlformats.org/officeDocument/2006/relationships/hyperlink" Target="https://www.gov.pl/web/funduszmodernizacyjny/Programy-Priorytetowe" TargetMode="External"/><Relationship Id="rId26" Type="http://schemas.openxmlformats.org/officeDocument/2006/relationships/hyperlink" Target="https://www.gov.pl/web/funduszmodernizacyjny/Programy-Priorytetowe" TargetMode="External"/><Relationship Id="rId3" Type="http://schemas.openxmlformats.org/officeDocument/2006/relationships/hyperlink" Target="https://www.gov.pl/web/funduszmodernizacyjny/Programy-Priorytetowe" TargetMode="External"/><Relationship Id="rId21" Type="http://schemas.openxmlformats.org/officeDocument/2006/relationships/hyperlink" Target="https://www.gov.pl/web/funduszmodernizacyjny/Programy-Priorytetowe" TargetMode="External"/><Relationship Id="rId7" Type="http://schemas.openxmlformats.org/officeDocument/2006/relationships/hyperlink" Target="https://www.gov.pl/web/funduszmodernizacyjny/Programy-Priorytetowe" TargetMode="External"/><Relationship Id="rId12" Type="http://schemas.openxmlformats.org/officeDocument/2006/relationships/hyperlink" Target="https://www.gov.pl/web/funduszmodernizacyjny/Programy-Priorytetowe" TargetMode="External"/><Relationship Id="rId17" Type="http://schemas.openxmlformats.org/officeDocument/2006/relationships/hyperlink" Target="https://www.gov.pl/web/funduszmodernizacyjny/Programy-Priorytetowe" TargetMode="External"/><Relationship Id="rId25" Type="http://schemas.openxmlformats.org/officeDocument/2006/relationships/hyperlink" Target="https://www.gov.pl/web/funduszmodernizacyjny/Programy-Priorytetowe" TargetMode="External"/><Relationship Id="rId2" Type="http://schemas.openxmlformats.org/officeDocument/2006/relationships/hyperlink" Target="https://www.gov.pl/web/funduszmodernizacyjny/Programy-Priorytetowe" TargetMode="External"/><Relationship Id="rId16" Type="http://schemas.openxmlformats.org/officeDocument/2006/relationships/hyperlink" Target="https://www.gov.pl/web/funduszmodernizacyjny/Programy-Priorytetowe" TargetMode="External"/><Relationship Id="rId20" Type="http://schemas.openxmlformats.org/officeDocument/2006/relationships/hyperlink" Target="https://www.gov.pl/web/funduszmodernizacyjny/Programy-Priorytetowe" TargetMode="External"/><Relationship Id="rId29" Type="http://schemas.openxmlformats.org/officeDocument/2006/relationships/hyperlink" Target="https://www.gov.pl/web/funduszmodernizacyjny/konsultacje-spoleczne-dotyczace-nowych-obszarow-wsparcia-z-funduszu-modernizacyjnego-na-lata-2025-2026-z-perspektywa-do-2030-r" TargetMode="External"/><Relationship Id="rId1" Type="http://schemas.openxmlformats.org/officeDocument/2006/relationships/hyperlink" Target="https://www.gov.pl/web/funduszmodernizacyjny/Programy-Priorytetowe" TargetMode="External"/><Relationship Id="rId6" Type="http://schemas.openxmlformats.org/officeDocument/2006/relationships/hyperlink" Target="https://www.gov.pl/web/funduszmodernizacyjny/Programy-Priorytetowe" TargetMode="External"/><Relationship Id="rId11" Type="http://schemas.openxmlformats.org/officeDocument/2006/relationships/hyperlink" Target="https://www.gov.pl/web/funduszmodernizacyjny/Programy-Priorytetowe" TargetMode="External"/><Relationship Id="rId24" Type="http://schemas.openxmlformats.org/officeDocument/2006/relationships/hyperlink" Target="https://www.gov.pl/web/funduszmodernizacyjny/Programy-Priorytetowe" TargetMode="External"/><Relationship Id="rId5" Type="http://schemas.openxmlformats.org/officeDocument/2006/relationships/hyperlink" Target="https://www.gov.pl/web/funduszmodernizacyjny/Programy-Priorytetowe" TargetMode="External"/><Relationship Id="rId15" Type="http://schemas.openxmlformats.org/officeDocument/2006/relationships/hyperlink" Target="https://www.gov.pl/web/funduszmodernizacyjny/Programy-Priorytetowe" TargetMode="External"/><Relationship Id="rId23" Type="http://schemas.openxmlformats.org/officeDocument/2006/relationships/hyperlink" Target="https://www.gov.pl/web/funduszmodernizacyjny/Programy-Priorytetowe" TargetMode="External"/><Relationship Id="rId28" Type="http://schemas.openxmlformats.org/officeDocument/2006/relationships/hyperlink" Target="https://www.gov.pl/web/funduszmodernizacyjny/konsultacje-spoleczne-dotyczace-nowych-obszarow-wsparcia-z-funduszu-modernizacyjnego-na-lata-2024-2025-z-perspektywa-do-2030-r" TargetMode="External"/><Relationship Id="rId10" Type="http://schemas.openxmlformats.org/officeDocument/2006/relationships/hyperlink" Target="https://www.gov.pl/web/funduszmodernizacyjny/Programy-Priorytetowe" TargetMode="External"/><Relationship Id="rId19" Type="http://schemas.openxmlformats.org/officeDocument/2006/relationships/hyperlink" Target="https://www.gov.pl/web/funduszmodernizacyjny/Programy-Priorytetowe" TargetMode="External"/><Relationship Id="rId4" Type="http://schemas.openxmlformats.org/officeDocument/2006/relationships/hyperlink" Target="https://www.gov.pl/web/funduszmodernizacyjny/Programy-Priorytetowe" TargetMode="External"/><Relationship Id="rId9" Type="http://schemas.openxmlformats.org/officeDocument/2006/relationships/hyperlink" Target="https://www.gov.pl/web/funduszmodernizacyjny/Programy-Priorytetowe" TargetMode="External"/><Relationship Id="rId14" Type="http://schemas.openxmlformats.org/officeDocument/2006/relationships/hyperlink" Target="https://www.gov.pl/web/funduszmodernizacyjny/Programy-Priorytetowe" TargetMode="External"/><Relationship Id="rId22" Type="http://schemas.openxmlformats.org/officeDocument/2006/relationships/hyperlink" Target="https://www.gov.pl/web/funduszmodernizacyjny/Programy-Priorytetowe" TargetMode="External"/><Relationship Id="rId27" Type="http://schemas.openxmlformats.org/officeDocument/2006/relationships/hyperlink" Target="https://www.gov.pl/web/funduszmodernizacyjny/Programy-Priorytetowe" TargetMode="External"/><Relationship Id="rId30"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V38"/>
  <sheetViews>
    <sheetView showGridLines="0" topLeftCell="A18" zoomScale="90" zoomScaleNormal="90" workbookViewId="0">
      <selection activeCell="G14" sqref="G14"/>
    </sheetView>
  </sheetViews>
  <sheetFormatPr defaultColWidth="0" defaultRowHeight="14.5" zeroHeight="1"/>
  <cols>
    <col min="1" max="1" width="3.54296875" style="2" customWidth="1"/>
    <col min="2" max="2" width="21.90625" style="2" customWidth="1"/>
    <col min="3" max="3" width="20.36328125" style="2" customWidth="1"/>
    <col min="4" max="4" width="20.90625" style="2" customWidth="1"/>
    <col min="5" max="5" width="18.54296875" style="2" customWidth="1"/>
    <col min="6" max="6" width="17.453125" style="2" customWidth="1"/>
    <col min="7" max="7" width="16.90625" style="2" customWidth="1"/>
    <col min="8" max="8" width="18.08984375" style="2" customWidth="1"/>
    <col min="9" max="9" width="21.36328125" style="2" customWidth="1"/>
    <col min="10" max="10" width="3.90625" style="2" customWidth="1"/>
    <col min="11" max="12" width="44.54296875" style="2" hidden="1" customWidth="1"/>
    <col min="13" max="24" width="44.54296875" style="4" hidden="1" customWidth="1"/>
    <col min="25" max="25" width="44.54296875" style="2" hidden="1" customWidth="1"/>
    <col min="26" max="26" width="8.90625" style="1" hidden="1" customWidth="1"/>
    <col min="27" max="16384" width="8.90625" style="1" hidden="1"/>
  </cols>
  <sheetData>
    <row r="1" spans="1:102">
      <c r="A1" s="199"/>
      <c r="B1" s="199"/>
      <c r="C1" s="199"/>
      <c r="D1" s="199"/>
      <c r="E1" s="199"/>
      <c r="F1" s="199"/>
      <c r="G1" s="199"/>
      <c r="H1" s="199"/>
      <c r="I1" s="199"/>
      <c r="J1" s="199"/>
      <c r="K1" s="4"/>
      <c r="L1" s="4"/>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row>
    <row r="2" spans="1:102" ht="60.75" customHeight="1">
      <c r="A2" s="199"/>
      <c r="B2" s="196" t="s">
        <v>0</v>
      </c>
      <c r="C2" s="196"/>
      <c r="D2" s="196"/>
      <c r="E2" s="197"/>
      <c r="F2" s="197"/>
      <c r="G2" s="197"/>
      <c r="H2" s="197"/>
      <c r="I2" s="197"/>
      <c r="J2" s="199"/>
      <c r="K2" s="4"/>
      <c r="L2" s="4"/>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row>
    <row r="3" spans="1:102" ht="24.75" customHeight="1">
      <c r="A3" s="199"/>
      <c r="B3" s="198" t="s">
        <v>1</v>
      </c>
      <c r="C3" s="198"/>
      <c r="D3" s="198"/>
      <c r="E3" s="197"/>
      <c r="F3" s="197"/>
      <c r="G3" s="197"/>
      <c r="H3" s="197"/>
      <c r="I3" s="197"/>
      <c r="J3" s="199"/>
      <c r="K3" s="4"/>
      <c r="L3" s="4"/>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row>
    <row r="4" spans="1:102" ht="53.25" customHeight="1">
      <c r="A4" s="199"/>
      <c r="B4" s="194" t="s">
        <v>2</v>
      </c>
      <c r="C4" s="194"/>
      <c r="D4" s="195"/>
      <c r="E4" s="195"/>
      <c r="F4" s="195"/>
      <c r="G4" s="195"/>
      <c r="H4" s="195"/>
      <c r="I4" s="195"/>
      <c r="J4" s="199"/>
      <c r="K4" s="13"/>
      <c r="L4" s="4"/>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row>
    <row r="5" spans="1:102" ht="78.900000000000006" customHeight="1">
      <c r="A5" s="199"/>
      <c r="B5" s="194" t="s">
        <v>3</v>
      </c>
      <c r="C5" s="194"/>
      <c r="D5" s="195"/>
      <c r="E5" s="195"/>
      <c r="F5" s="195"/>
      <c r="G5" s="195"/>
      <c r="H5" s="195"/>
      <c r="I5" s="195"/>
      <c r="J5" s="199"/>
      <c r="K5" s="13"/>
      <c r="L5" s="4"/>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row>
    <row r="6" spans="1:102" ht="66.650000000000006" customHeight="1">
      <c r="A6" s="199"/>
      <c r="B6" s="194" t="s">
        <v>4</v>
      </c>
      <c r="C6" s="194"/>
      <c r="D6" s="195"/>
      <c r="E6" s="195"/>
      <c r="F6" s="195"/>
      <c r="G6" s="195"/>
      <c r="H6" s="195"/>
      <c r="I6" s="195"/>
      <c r="J6" s="199"/>
      <c r="K6" s="13"/>
      <c r="L6" s="4"/>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row>
    <row r="7" spans="1:102" ht="41.4" customHeight="1">
      <c r="A7" s="199"/>
      <c r="B7" s="194" t="s">
        <v>5</v>
      </c>
      <c r="C7" s="194"/>
      <c r="D7" s="195"/>
      <c r="E7" s="195"/>
      <c r="F7" s="195"/>
      <c r="G7" s="195"/>
      <c r="H7" s="195"/>
      <c r="I7" s="195"/>
      <c r="J7" s="199"/>
      <c r="K7" s="13"/>
      <c r="L7" s="4"/>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row>
    <row r="8" spans="1:102" ht="51.65" customHeight="1">
      <c r="A8" s="199"/>
      <c r="B8" s="194" t="s">
        <v>6</v>
      </c>
      <c r="C8" s="194"/>
      <c r="D8" s="201"/>
      <c r="E8" s="195"/>
      <c r="F8" s="195"/>
      <c r="G8" s="195"/>
      <c r="H8" s="195"/>
      <c r="I8" s="195"/>
      <c r="J8" s="199"/>
      <c r="K8" s="13"/>
      <c r="L8" s="4"/>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row>
    <row r="9" spans="1:102" ht="9" customHeight="1">
      <c r="A9" s="199"/>
      <c r="B9" s="78"/>
      <c r="C9" s="78"/>
      <c r="D9" s="101"/>
      <c r="E9" s="101"/>
      <c r="F9" s="101"/>
      <c r="G9" s="101"/>
      <c r="H9" s="101"/>
      <c r="I9" s="101"/>
      <c r="J9" s="199"/>
      <c r="K9" s="13"/>
      <c r="L9" s="4"/>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row>
    <row r="10" spans="1:102" ht="39.75" customHeight="1" thickBot="1">
      <c r="A10" s="199"/>
      <c r="B10" s="204" t="s">
        <v>7</v>
      </c>
      <c r="C10" s="204"/>
      <c r="D10" s="205"/>
      <c r="E10" s="85"/>
      <c r="F10" s="85"/>
      <c r="G10" s="85"/>
      <c r="H10" s="85"/>
      <c r="I10" s="85"/>
      <c r="J10" s="199"/>
      <c r="K10" s="13"/>
      <c r="L10" s="4"/>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row>
    <row r="11" spans="1:102" ht="91">
      <c r="A11" s="199"/>
      <c r="B11" s="212"/>
      <c r="C11" s="213"/>
      <c r="D11" s="214"/>
      <c r="E11" s="92" t="s">
        <v>8</v>
      </c>
      <c r="F11" s="90" t="s">
        <v>9</v>
      </c>
      <c r="G11" s="92" t="s">
        <v>10</v>
      </c>
      <c r="H11" s="92" t="s">
        <v>11</v>
      </c>
      <c r="I11" s="91" t="s">
        <v>12</v>
      </c>
      <c r="J11" s="199"/>
      <c r="K11" s="13"/>
      <c r="L11" s="4"/>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row>
    <row r="12" spans="1:102" ht="27.9" customHeight="1">
      <c r="A12" s="199"/>
      <c r="B12" s="208" t="s">
        <v>13</v>
      </c>
      <c r="C12" s="215" t="s">
        <v>14</v>
      </c>
      <c r="D12" s="216"/>
      <c r="E12" s="102">
        <f>SUM(F12:I12)</f>
        <v>27</v>
      </c>
      <c r="F12" s="102">
        <f>COUNTIFS('Annual Report'!H3:H1048576,"Ongoing: confirmed but not started",'Annual Report'!E3:E1048576,"Priority")+
COUNTIFS('Annual Report'!H3:H1048576,"Ongoing: tendering phase",'Annual Report'!E3:E1048576,"Priority") + COUNTIFS('Annual Report'!H3:H1048576,"Ongoing: construction phase",'Annual Report'!E3:E1048576,"Priority")</f>
        <v>27</v>
      </c>
      <c r="G12" s="102">
        <f>COUNTIFS('Annual Report'!H3:H1048576,"Completed (for schemes)",'Annual Report'!E3:E1048576,"Priority") + COUNTIFS('Annual Report'!H3:H1048576,"Entered into operation (for investments other than schemes)",'Annual Report'!E3:E1048576,"Priority")</f>
        <v>0</v>
      </c>
      <c r="H12" s="102">
        <f>COUNTIFS('Annual Report'!G3:G1048576,"Partially discontinued",'Annual Report'!E3:E1048576,"Priority")</f>
        <v>0</v>
      </c>
      <c r="I12" s="103">
        <f>COUNTIFS('Annual Report'!G3:G1048576,"Fully discontinued",'Annual Report'!E3:E1048576,"Priority")</f>
        <v>0</v>
      </c>
      <c r="J12" s="199"/>
      <c r="K12" s="13"/>
      <c r="L12" s="4"/>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row>
    <row r="13" spans="1:102" ht="43.5" customHeight="1">
      <c r="A13" s="199"/>
      <c r="B13" s="209"/>
      <c r="C13" s="215" t="s">
        <v>15</v>
      </c>
      <c r="D13" s="216"/>
      <c r="E13" s="104">
        <f>SUM(F13:I13)</f>
        <v>4154160000</v>
      </c>
      <c r="F13" s="104" cm="1">
        <f t="array" ref="F13">SUM(
   SUMIFS('Annual Report'!R:R, 'Annual Report'!E:E, "Priority", 'Annual Report'!H:H, {"Ongoing: confirmed but not started","Ongoing: tendering phase","Ongoing: construction phase"}),
   SUMIFS('Annual Report'!S:S, 'Annual Report'!E:E, "Priority", 'Annual Report'!H:H, {"Ongoing: confirmed but not started","Ongoing: tendering phase","Ongoing: construction phase"}),
   SUMIFS('Annual Report'!T:T, 'Annual Report'!E:E, "Priority", 'Annual Report'!H:H, {"Ongoing: confirmed but not started","Ongoing: tendering phase","Ongoing: construction phase"})
)</f>
        <v>4154160000</v>
      </c>
      <c r="G13" s="104" cm="1">
        <f t="array" ref="G13">SUM(
   SUMIFS('Annual Report'!R:R, 'Annual Report'!E:E, "Priority", 'Annual Report'!H:H, {"Completed (for schemes)","Entered into operation (for investments other than schemes)"}),
   SUMIFS('Annual Report'!S:S, 'Annual Report'!E:E, "Priority", 'Annual Report'!H:H, {"Completed (for schemes)","Entered into operation (for investments other than schemes)"}),
   SUMIFS('Annual Report'!T:T, 'Annual Report'!E:E, "Priority", 'Annual Report'!H:H, {"Completed (for schemes)","Entered into operation (for investments other than schemes)"})
)</f>
        <v>0</v>
      </c>
      <c r="H13" s="104">
        <f>SUMIFS('Annual Report'!R:R, 'Annual Report'!E:E, "Priority", 'Annual Report'!G:G, "Partially discontinued") +
SUMIFS('Annual Report'!S:S, 'Annual Report'!E:E, "Priority", 'Annual Report'!G:G, "Partially discontinued") +
SUMIFS('Annual Report'!T:T, 'Annual Report'!E:E, "Priority", 'Annual Report'!G:G, "Partially discontinued")</f>
        <v>0</v>
      </c>
      <c r="I13" s="105">
        <f>SUMIFS('Annual Report'!R:R, 'Annual Report'!E:E, "Priority", 'Annual Report'!G:G, "Fully discontinued") +
SUMIFS('Annual Report'!S:S, 'Annual Report'!E:E, "Priority", 'Annual Report'!G:G, "Fully discontinued") +
SUMIFS('Annual Report'!T:T, 'Annual Report'!E:E, "Priority", 'Annual Report'!G:G, "Fully discontinued")</f>
        <v>0</v>
      </c>
      <c r="J13" s="199"/>
      <c r="K13" s="13"/>
      <c r="L13" s="4"/>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row>
    <row r="14" spans="1:102" ht="25.5" customHeight="1">
      <c r="A14" s="199"/>
      <c r="B14" s="208" t="s">
        <v>16</v>
      </c>
      <c r="C14" s="215" t="s">
        <v>14</v>
      </c>
      <c r="D14" s="216"/>
      <c r="E14" s="102">
        <f>SUM(F14:I14)</f>
        <v>3</v>
      </c>
      <c r="F14" s="102">
        <f>COUNTIFS('Annual Report'!H3:H1048576,"Ongoing: confirmed but not started",'Annual Report'!E3:E1048576,"Non-Priority")+
COUNTIFS('Annual Report'!H3:H1048576,"Ongoing: tendering phase",'Annual Report'!E3:E1048576,"Non-Priority") + COUNTIFS('Annual Report'!H3:H1048576,"Ongoing: construction phase",'Annual Report'!E3:E1048576,"Non-Priority")</f>
        <v>3</v>
      </c>
      <c r="G14" s="102">
        <f>COUNTIFS('Annual Report'!H3:H1048576,"Completed (for schemes)",'Annual Report'!E3:E1048576,"Non-Priority") + COUNTIFS('Annual Report'!H3:H1048576,"Entered into operation (for investments other than schemes)",'Annual Report'!E3:E1048576,"Non-Priority")</f>
        <v>0</v>
      </c>
      <c r="H14" s="102">
        <f>COUNTIFS('Annual Report'!G3:G1048576,"Partially discontinued",'Annual Report'!E3:E1048576,"Non-Priority")</f>
        <v>0</v>
      </c>
      <c r="I14" s="103">
        <f>COUNTIFS('Annual Report'!G3:G1048576,"Fully discontinued",'Annual Report'!E3:E1048576,"Non-Priority")</f>
        <v>0</v>
      </c>
      <c r="J14" s="199"/>
      <c r="K14" s="13"/>
      <c r="L14" s="4"/>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row>
    <row r="15" spans="1:102" ht="46.5" customHeight="1" thickBot="1">
      <c r="A15" s="199"/>
      <c r="B15" s="209"/>
      <c r="C15" s="215" t="s">
        <v>15</v>
      </c>
      <c r="D15" s="216"/>
      <c r="E15" s="106">
        <f>SUM(F15:I15)</f>
        <v>229355555</v>
      </c>
      <c r="F15" s="106" cm="1">
        <f t="array" ref="F15">SUM(
   SUMIFS('Annual Report'!R:R, 'Annual Report'!E:E, "Non-Priority", 'Annual Report'!H:H, {"Ongoing: confirmed but not started","Ongoing: tendering phase","Ongoing: construction phase"}),
   SUMIFS('Annual Report'!S:S, 'Annual Report'!E:E, "Non-Priority", 'Annual Report'!H:H, {"Ongoing: confirmed but not started","Ongoing: tendering phase","Ongoing: construction phase"}),
   SUMIFS('Annual Report'!T:T, 'Annual Report'!E:E, "Non-Priority", 'Annual Report'!H:H, {"Ongoing: confirmed but not started","Ongoing: tendering phase","Ongoing: construction phase"})
)</f>
        <v>229355555</v>
      </c>
      <c r="G15" s="106" cm="1">
        <f t="array" ref="G15">SUM(
   SUMIFS('Annual Report'!R:R, 'Annual Report'!E:E, "Non-Priority", 'Annual Report'!H:H, {"Completed (for schemes)","Entered into operation (for investments other than schemes)"}),
   SUMIFS('Annual Report'!S:S, 'Annual Report'!E:E, "Non-Priority", 'Annual Report'!H:H, {"Completed (for schemes)","Entered into operation (for investments other than schemes)"}),
   SUMIFS('Annual Report'!T:T, 'Annual Report'!E:E, "Non-Priority", 'Annual Report'!H:H, {"Completed (for schemes)","Entered into operation (for investments other than schemes)"})
)</f>
        <v>0</v>
      </c>
      <c r="H15" s="106">
        <f>SUMIFS('Annual Report'!R:R, 'Annual Report'!E:E, "Non-Priority", 'Annual Report'!G:G, "Partially discontinued") +
SUMIFS('Annual Report'!S:S, 'Annual Report'!E:E, "Non-Priority", 'Annual Report'!G:G, "Partially discontinued") +
SUMIFS('Annual Report'!T:T, 'Annual Report'!E:E, "Non-Priority", 'Annual Report'!G:G, "Partially discontinued")</f>
        <v>0</v>
      </c>
      <c r="I15" s="107">
        <f>SUMIFS('Annual Report'!R:R, 'Annual Report'!E:E, "Non-Priority", 'Annual Report'!G:G, "Fully discontinued") +
SUMIFS('Annual Report'!S:S, 'Annual Report'!E:E, "Non-Priority", 'Annual Report'!G:G, "Fully discontinued") +
SUMIFS('Annual Report'!T:T, 'Annual Report'!E:E, "Non-Priority", 'Annual Report'!G:G, "Fully discontinued")</f>
        <v>0</v>
      </c>
      <c r="J15" s="199"/>
      <c r="K15" s="13"/>
      <c r="L15" s="4"/>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row>
    <row r="16" spans="1:102" ht="60.65" customHeight="1">
      <c r="A16" s="199"/>
      <c r="B16" s="201" t="s">
        <v>17</v>
      </c>
      <c r="C16" s="201"/>
      <c r="D16" s="201"/>
      <c r="E16" s="101"/>
      <c r="F16" s="206" t="s">
        <v>18</v>
      </c>
      <c r="G16" s="207"/>
      <c r="H16" s="207"/>
      <c r="I16" s="207"/>
      <c r="J16" s="199"/>
      <c r="K16" s="4"/>
      <c r="L16" s="4"/>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row>
    <row r="17" spans="1:102" ht="17.25" customHeight="1">
      <c r="A17" s="199"/>
      <c r="B17" s="202" t="s">
        <v>19</v>
      </c>
      <c r="C17" s="202"/>
      <c r="D17" s="202"/>
      <c r="E17" s="80"/>
      <c r="F17" s="207"/>
      <c r="G17" s="207"/>
      <c r="H17" s="207"/>
      <c r="I17" s="207"/>
      <c r="J17" s="199"/>
      <c r="K17" s="4"/>
      <c r="L17" s="4"/>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row>
    <row r="18" spans="1:102" ht="16.5" customHeight="1">
      <c r="A18" s="199"/>
      <c r="B18" s="195" t="s">
        <v>20</v>
      </c>
      <c r="C18" s="195"/>
      <c r="D18" s="195"/>
      <c r="E18" s="79"/>
      <c r="F18" s="207"/>
      <c r="G18" s="207"/>
      <c r="H18" s="207"/>
      <c r="I18" s="207"/>
      <c r="J18" s="199"/>
      <c r="K18" s="4"/>
      <c r="L18" s="4"/>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row>
    <row r="19" spans="1:102" ht="21.75" customHeight="1">
      <c r="A19" s="199"/>
      <c r="B19" s="203" t="s">
        <v>21</v>
      </c>
      <c r="C19" s="203"/>
      <c r="D19" s="203"/>
      <c r="E19" s="81"/>
      <c r="F19" s="207"/>
      <c r="G19" s="207"/>
      <c r="H19" s="207"/>
      <c r="I19" s="207"/>
      <c r="J19" s="199"/>
      <c r="K19" s="4"/>
      <c r="L19" s="4"/>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row>
    <row r="20" spans="1:102" ht="57" customHeight="1" thickBot="1">
      <c r="A20" s="199"/>
      <c r="B20" s="20" t="s">
        <v>22</v>
      </c>
      <c r="C20" s="20"/>
      <c r="D20" s="21" t="s">
        <v>23</v>
      </c>
      <c r="E20" s="86"/>
      <c r="F20" s="207"/>
      <c r="G20" s="207"/>
      <c r="H20" s="207"/>
      <c r="I20" s="207"/>
      <c r="J20" s="199"/>
      <c r="K20" s="4"/>
      <c r="L20" s="4"/>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row>
    <row r="21" spans="1:102" ht="42" customHeight="1" thickBot="1">
      <c r="A21" s="199"/>
      <c r="B21" s="22">
        <v>2025</v>
      </c>
      <c r="C21" s="210" t="s">
        <v>24</v>
      </c>
      <c r="D21" s="211"/>
      <c r="E21" s="86"/>
      <c r="F21" s="207"/>
      <c r="G21" s="207"/>
      <c r="H21" s="207"/>
      <c r="I21" s="207"/>
      <c r="J21" s="199"/>
      <c r="K21" s="108" t="s">
        <v>25</v>
      </c>
      <c r="L21" s="4"/>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row>
    <row r="22" spans="1:102" ht="42" customHeight="1">
      <c r="A22" s="199"/>
      <c r="B22" s="1"/>
      <c r="C22" s="93"/>
      <c r="D22" s="94"/>
      <c r="E22" s="95"/>
      <c r="F22" s="207"/>
      <c r="G22" s="207"/>
      <c r="H22" s="207"/>
      <c r="I22" s="207"/>
      <c r="J22" s="199"/>
      <c r="K22" s="108"/>
      <c r="L22" s="4"/>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row>
    <row r="23" spans="1:102" ht="87">
      <c r="A23" s="199"/>
      <c r="B23" s="96" t="s">
        <v>26</v>
      </c>
      <c r="C23" s="97" t="s">
        <v>27</v>
      </c>
      <c r="D23" s="97" t="s">
        <v>28</v>
      </c>
      <c r="E23" s="97" t="s">
        <v>29</v>
      </c>
      <c r="F23" s="207"/>
      <c r="G23" s="207"/>
      <c r="H23" s="207"/>
      <c r="I23" s="207"/>
      <c r="J23" s="199"/>
      <c r="K23" s="108"/>
      <c r="L23" s="4"/>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row>
    <row r="24" spans="1:102" ht="42" customHeight="1">
      <c r="A24" s="199"/>
      <c r="B24" s="98" t="s">
        <v>30</v>
      </c>
      <c r="C24" s="99">
        <f>(SUMIFS('Annual Report'!R:R,'Annual Report'!E:E,"Priority")/SUM('Annual Report'!R:R))</f>
        <v>0.92330271676112374</v>
      </c>
      <c r="D24" s="100">
        <f>(SUMIFS('Annual Report'!S:S,'Annual Report'!E:E,"Priority")/SUM('Annual Report'!S:S))</f>
        <v>0.96866694405054043</v>
      </c>
      <c r="E24" s="100" t="e">
        <f>(SUMIFS('Annual Report'!T:T,'Annual Report'!E:E,"Priority")/SUM('Annual Report'!T:T))</f>
        <v>#DIV/0!</v>
      </c>
      <c r="F24" s="207"/>
      <c r="G24" s="207"/>
      <c r="H24" s="207"/>
      <c r="I24" s="207"/>
      <c r="J24" s="199"/>
      <c r="K24" s="108"/>
      <c r="L24" s="4"/>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row>
    <row r="25" spans="1:102" ht="19.5" customHeight="1">
      <c r="A25" s="199"/>
      <c r="B25" s="89"/>
      <c r="C25" s="19"/>
      <c r="D25" s="109" t="s">
        <v>31</v>
      </c>
      <c r="E25" s="3"/>
      <c r="F25" s="207"/>
      <c r="G25" s="207"/>
      <c r="H25" s="207"/>
      <c r="I25" s="207"/>
      <c r="J25" s="199"/>
      <c r="K25" s="4"/>
      <c r="L25" s="4"/>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row>
    <row r="26" spans="1:102">
      <c r="A26" s="199"/>
      <c r="B26" s="88"/>
      <c r="C26" s="18"/>
      <c r="D26" s="11"/>
      <c r="E26" s="11"/>
      <c r="F26" s="11"/>
      <c r="G26" s="11"/>
      <c r="H26" s="11"/>
      <c r="I26" s="11"/>
      <c r="J26" s="199"/>
      <c r="K26" s="4"/>
      <c r="L26" s="4"/>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row>
    <row r="27" spans="1:102" ht="18.5" hidden="1">
      <c r="A27" s="4"/>
      <c r="B27" s="87"/>
      <c r="C27" s="4"/>
      <c r="D27" s="6"/>
      <c r="E27" s="6"/>
      <c r="F27" s="6"/>
      <c r="G27" s="6"/>
      <c r="H27" s="6"/>
      <c r="I27" s="6"/>
      <c r="J27" s="4"/>
      <c r="K27" s="4"/>
      <c r="L27" s="4"/>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row>
    <row r="28" spans="1:102" hidden="1">
      <c r="A28" s="4"/>
      <c r="B28" s="87"/>
      <c r="C28" s="4"/>
      <c r="D28" s="5"/>
      <c r="E28" s="5"/>
      <c r="F28" s="5"/>
      <c r="G28" s="5"/>
      <c r="H28" s="5"/>
      <c r="I28" s="5"/>
      <c r="J28" s="4"/>
      <c r="K28" s="4"/>
      <c r="L28" s="4"/>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row>
    <row r="29" spans="1:102" hidden="1">
      <c r="A29" s="4"/>
      <c r="B29" s="87"/>
      <c r="C29" s="4"/>
      <c r="D29" s="7"/>
      <c r="E29" s="7"/>
      <c r="F29" s="7"/>
      <c r="G29" s="7"/>
      <c r="H29" s="7"/>
      <c r="I29" s="7"/>
      <c r="J29" s="4"/>
      <c r="K29" s="4"/>
      <c r="L29" s="4"/>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row>
    <row r="30" spans="1:102" hidden="1">
      <c r="A30" s="4"/>
      <c r="B30" s="4"/>
      <c r="C30" s="4"/>
      <c r="D30" s="8"/>
      <c r="E30" s="8"/>
      <c r="F30" s="8"/>
      <c r="G30" s="8"/>
      <c r="H30" s="8"/>
      <c r="I30" s="8"/>
      <c r="J30" s="4"/>
      <c r="K30" s="4"/>
      <c r="L30" s="4"/>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row>
    <row r="31" spans="1:102" hidden="1">
      <c r="A31" s="4"/>
      <c r="B31" s="4"/>
      <c r="C31" s="4"/>
      <c r="D31" s="8"/>
      <c r="E31" s="8"/>
      <c r="F31" s="8"/>
      <c r="G31" s="8"/>
      <c r="H31" s="8"/>
      <c r="I31" s="8"/>
      <c r="J31" s="4"/>
      <c r="K31" s="4"/>
      <c r="L31" s="4"/>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row>
    <row r="32" spans="1:102" hidden="1">
      <c r="A32" s="4"/>
      <c r="B32" s="4"/>
      <c r="C32" s="4"/>
      <c r="D32" s="9"/>
      <c r="E32" s="9"/>
      <c r="F32" s="9"/>
      <c r="G32" s="9"/>
      <c r="H32" s="9"/>
      <c r="I32" s="9"/>
      <c r="J32" s="4"/>
      <c r="K32" s="4"/>
      <c r="L32" s="4"/>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row>
    <row r="33" spans="1:282" hidden="1">
      <c r="A33" s="4"/>
      <c r="B33" s="4"/>
      <c r="C33" s="4"/>
      <c r="D33" s="10"/>
      <c r="E33" s="10"/>
      <c r="F33" s="10"/>
      <c r="G33" s="10"/>
      <c r="H33" s="10"/>
      <c r="I33" s="10"/>
      <c r="J33" s="4"/>
      <c r="K33" s="4"/>
      <c r="L33" s="4"/>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row>
    <row r="34" spans="1:282" ht="66" hidden="1" customHeight="1">
      <c r="A34" s="200"/>
      <c r="B34" s="200"/>
      <c r="C34" s="200"/>
      <c r="D34" s="200"/>
      <c r="E34" s="200"/>
      <c r="F34" s="200"/>
      <c r="G34" s="200"/>
      <c r="H34" s="200"/>
      <c r="I34" s="200"/>
      <c r="J34" s="200"/>
      <c r="K34" s="4"/>
      <c r="L34" s="4"/>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row>
    <row r="35" spans="1:282" hidden="1">
      <c r="A35" s="4"/>
      <c r="B35" s="4"/>
      <c r="C35" s="4"/>
      <c r="D35" s="4"/>
      <c r="E35" s="4"/>
      <c r="F35" s="4"/>
      <c r="G35" s="4"/>
      <c r="H35" s="4"/>
      <c r="I35" s="4"/>
      <c r="J35" s="4"/>
      <c r="K35" s="4"/>
      <c r="L35" s="4"/>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row>
    <row r="36" spans="1:282" hidden="1">
      <c r="A36" s="4"/>
      <c r="B36" s="4"/>
      <c r="C36" s="4"/>
      <c r="D36" s="4"/>
      <c r="E36" s="4"/>
      <c r="F36" s="4"/>
      <c r="G36" s="4"/>
      <c r="H36" s="4"/>
      <c r="I36" s="4"/>
      <c r="J36" s="4"/>
      <c r="K36" s="4"/>
      <c r="L36" s="4"/>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row>
    <row r="37" spans="1:282" hidden="1">
      <c r="A37" s="4"/>
      <c r="B37" s="4"/>
      <c r="C37" s="4"/>
      <c r="D37" s="4"/>
      <c r="E37" s="4"/>
      <c r="F37" s="4"/>
      <c r="G37" s="4"/>
      <c r="H37" s="4"/>
      <c r="I37" s="4"/>
      <c r="J37" s="4"/>
      <c r="K37" s="4"/>
      <c r="L37" s="4"/>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row>
    <row r="38" spans="1:282" hidden="1">
      <c r="A38" s="4"/>
      <c r="B38" s="4"/>
      <c r="C38" s="4"/>
      <c r="D38" s="4"/>
      <c r="E38" s="4"/>
      <c r="F38" s="4"/>
      <c r="G38" s="4"/>
      <c r="H38" s="4"/>
      <c r="I38" s="4"/>
      <c r="J38" s="4"/>
      <c r="K38" s="4"/>
      <c r="L38" s="4"/>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row>
  </sheetData>
  <mergeCells count="25">
    <mergeCell ref="F16:I25"/>
    <mergeCell ref="B12:B13"/>
    <mergeCell ref="B14:B15"/>
    <mergeCell ref="C21:D21"/>
    <mergeCell ref="B11:D11"/>
    <mergeCell ref="C12:D12"/>
    <mergeCell ref="C13:D13"/>
    <mergeCell ref="C14:D14"/>
    <mergeCell ref="C15:D15"/>
    <mergeCell ref="B4:I4"/>
    <mergeCell ref="B2:I2"/>
    <mergeCell ref="B3:I3"/>
    <mergeCell ref="A1:J1"/>
    <mergeCell ref="A34:J34"/>
    <mergeCell ref="A2:A26"/>
    <mergeCell ref="J2:J26"/>
    <mergeCell ref="B16:D16"/>
    <mergeCell ref="B18:D18"/>
    <mergeCell ref="B17:D17"/>
    <mergeCell ref="B19:D19"/>
    <mergeCell ref="B10:D10"/>
    <mergeCell ref="B8:I8"/>
    <mergeCell ref="B7:I7"/>
    <mergeCell ref="B6:I6"/>
    <mergeCell ref="B5:I5"/>
  </mergeCells>
  <dataValidations count="3">
    <dataValidation operator="equal" allowBlank="1" showInputMessage="1" showErrorMessage="1" sqref="E21:E22" xr:uid="{EFD87997-B009-4B96-A64D-3139615E9B9F}"/>
    <dataValidation type="custom" allowBlank="1" showInputMessage="1" showErrorMessage="1" errorTitle="DO NOT EDIT" error="Please do not edit these cells, they will be automatically updated based on the values inserted in the sheet &quot;Annual Report&quot;. Thank you!" sqref="B11:I15" xr:uid="{21694C3A-514D-4AAE-9DD0-653330CEDE84}">
      <formula1>"X"</formula1>
    </dataValidation>
    <dataValidation type="custom" allowBlank="1" showInputMessage="1" showErrorMessage="1" errorTitle="DO NOT EDIT" error="Please do not edit these cells. They will be automatically updated based on the values inserted in the sheet &quot;Annual Report&quot;. Thank you!" sqref="B23:E24" xr:uid="{1B9A6759-E2DC-49D4-9C43-7BB49DDBB343}">
      <formula1>"X"</formula1>
    </dataValidation>
  </dataValidations>
  <hyperlinks>
    <hyperlink ref="B19" r:id="rId1" xr:uid="{7AF2421E-4B81-49B3-AF93-3F6ABB17BF4B}"/>
    <hyperlink ref="B17" r:id="rId2" xr:uid="{06C55FDB-1F02-403C-BF4C-68BC67BA44CB}"/>
  </hyperlinks>
  <pageMargins left="0.7" right="0.7" top="0.75" bottom="0.75" header="0.3" footer="0.3"/>
  <pageSetup paperSize="9" orientation="portrait" r:id="rId3"/>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69246D8A-36FA-4C65-B172-45CD990C6C20}">
          <x14:formula1>
            <xm:f>'Dropdown Menu'!$B$4:$B$17</xm:f>
          </x14:formula1>
          <xm:sqref>C21:C22</xm:sqref>
        </x14:dataValidation>
        <x14:dataValidation type="list" allowBlank="1" showInputMessage="1" showErrorMessage="1" xr:uid="{74B59555-1185-410C-8055-B572C3F2EBB6}">
          <x14:formula1>
            <xm:f>'Dropdown Menu'!$C$4:$C$13</xm:f>
          </x14:formula1>
          <xm:sqref>B21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1D1D-856E-4E55-94A4-1D94E8297831}">
  <dimension ref="A1:AT40"/>
  <sheetViews>
    <sheetView tabSelected="1" topLeftCell="A32" zoomScale="70" zoomScaleNormal="70" workbookViewId="0">
      <pane xSplit="1" topLeftCell="B1" activePane="topRight" state="frozen"/>
      <selection activeCell="A3" sqref="A3"/>
      <selection pane="topRight" activeCell="P33" sqref="P33"/>
    </sheetView>
  </sheetViews>
  <sheetFormatPr defaultRowHeight="14.5"/>
  <cols>
    <col min="2" max="2" width="25.453125" customWidth="1"/>
    <col min="3" max="3" width="25.6328125" customWidth="1"/>
    <col min="4" max="4" width="51" style="117" customWidth="1"/>
    <col min="5" max="6" width="14.54296875" hidden="1" customWidth="1"/>
    <col min="7" max="10" width="14.54296875" style="111" hidden="1" customWidth="1"/>
    <col min="11" max="11" width="25.54296875" style="94" hidden="1" customWidth="1"/>
    <col min="12" max="12" width="25.54296875" hidden="1" customWidth="1"/>
    <col min="13" max="13" width="25.54296875" style="145" hidden="1" customWidth="1"/>
    <col min="14" max="14" width="14.54296875" hidden="1" customWidth="1"/>
    <col min="15" max="15" width="18.90625" customWidth="1"/>
    <col min="16" max="16" width="18.6328125" customWidth="1"/>
    <col min="17" max="17" width="21.08984375" customWidth="1"/>
    <col min="18" max="19" width="20.36328125" style="129" customWidth="1"/>
    <col min="20" max="20" width="17" style="126" customWidth="1"/>
    <col min="21" max="21" width="24.90625" customWidth="1"/>
    <col min="22" max="22" width="16.08984375" style="126" customWidth="1"/>
    <col min="23" max="23" width="25" customWidth="1"/>
    <col min="24" max="24" width="22.6328125" style="126" customWidth="1"/>
    <col min="25" max="25" width="24.81640625" style="111" customWidth="1"/>
    <col min="26" max="26" width="19.90625" style="131" customWidth="1"/>
    <col min="27" max="27" width="19.90625" customWidth="1"/>
    <col min="28" max="28" width="18.453125" style="141" customWidth="1"/>
    <col min="29" max="29" width="20.36328125" style="82" customWidth="1"/>
    <col min="30" max="30" width="14.90625" style="113" customWidth="1"/>
    <col min="31" max="31" width="21.1796875" style="83" customWidth="1"/>
    <col min="32" max="32" width="18.08984375" style="83" customWidth="1"/>
    <col min="33" max="33" width="16" style="143" customWidth="1"/>
    <col min="34" max="34" width="14.54296875" style="143" customWidth="1"/>
    <col min="35" max="35" width="20.54296875" style="114" customWidth="1"/>
    <col min="36" max="36" width="19" style="114" customWidth="1"/>
    <col min="37" max="37" width="18.54296875" style="115" customWidth="1"/>
    <col min="38" max="38" width="20.453125" style="115" customWidth="1"/>
    <col min="39" max="39" width="27.90625" style="122" customWidth="1"/>
    <col min="40" max="40" width="24.90625" customWidth="1"/>
    <col min="41" max="41" width="21.453125" customWidth="1"/>
    <col min="42" max="43" width="34.453125" customWidth="1"/>
    <col min="44" max="44" width="32.453125" customWidth="1"/>
    <col min="45" max="45" width="27.453125" style="122" customWidth="1"/>
    <col min="46" max="46" width="29.453125" customWidth="1"/>
  </cols>
  <sheetData>
    <row r="1" spans="1:46" ht="15" hidden="1" thickBot="1">
      <c r="A1" s="153">
        <v>4.2805999999999997</v>
      </c>
      <c r="W1" s="134"/>
      <c r="Z1" s="83"/>
      <c r="AA1" s="84"/>
      <c r="AB1" s="83"/>
      <c r="AC1" s="84"/>
    </row>
    <row r="2" spans="1:46" ht="32.15" customHeight="1">
      <c r="A2" s="185" t="s">
        <v>258</v>
      </c>
      <c r="B2" s="186"/>
      <c r="C2" s="186"/>
      <c r="D2" s="186"/>
      <c r="E2" s="186"/>
      <c r="F2" s="186"/>
      <c r="G2" s="186"/>
      <c r="H2" s="186"/>
      <c r="I2" s="186"/>
      <c r="J2" s="186"/>
      <c r="K2" s="186"/>
      <c r="L2" s="186"/>
      <c r="M2" s="186"/>
      <c r="N2" s="186"/>
      <c r="O2" s="176" t="s">
        <v>257</v>
      </c>
      <c r="P2" s="176"/>
      <c r="Q2" s="176"/>
      <c r="R2" s="176"/>
      <c r="S2" s="176"/>
      <c r="T2" s="176"/>
      <c r="U2" s="176"/>
      <c r="V2" s="176"/>
      <c r="W2" s="176"/>
      <c r="X2" s="176"/>
      <c r="Y2" s="176"/>
      <c r="Z2" s="176"/>
      <c r="AA2" s="176"/>
      <c r="AB2" s="174" t="s">
        <v>256</v>
      </c>
      <c r="AC2" s="174"/>
      <c r="AD2" s="174"/>
      <c r="AE2" s="174"/>
      <c r="AF2" s="174"/>
      <c r="AG2" s="174"/>
      <c r="AH2" s="174"/>
      <c r="AI2" s="174"/>
      <c r="AJ2" s="174"/>
      <c r="AK2" s="174"/>
      <c r="AL2" s="174"/>
      <c r="AM2" s="177" t="s">
        <v>255</v>
      </c>
      <c r="AN2" s="177"/>
      <c r="AO2" s="177"/>
      <c r="AP2" s="177"/>
      <c r="AQ2" s="177"/>
      <c r="AR2" s="177"/>
      <c r="AS2" s="177"/>
      <c r="AT2" s="177"/>
    </row>
    <row r="3" spans="1:46" ht="64.5" customHeight="1">
      <c r="A3" s="187" t="s">
        <v>259</v>
      </c>
      <c r="B3" s="182" t="s">
        <v>263</v>
      </c>
      <c r="C3" s="182" t="s">
        <v>262</v>
      </c>
      <c r="D3" s="175" t="s">
        <v>261</v>
      </c>
      <c r="E3" s="188" t="s">
        <v>32</v>
      </c>
      <c r="F3" s="180" t="s">
        <v>33</v>
      </c>
      <c r="G3" s="189" t="s">
        <v>251</v>
      </c>
      <c r="H3" s="189" t="s">
        <v>252</v>
      </c>
      <c r="I3" s="189" t="s">
        <v>253</v>
      </c>
      <c r="J3" s="189" t="s">
        <v>254</v>
      </c>
      <c r="K3" s="181" t="s">
        <v>34</v>
      </c>
      <c r="L3" s="180" t="s">
        <v>35</v>
      </c>
      <c r="M3" s="189" t="s">
        <v>36</v>
      </c>
      <c r="N3" s="180" t="s">
        <v>37</v>
      </c>
      <c r="O3" s="187" t="s">
        <v>281</v>
      </c>
      <c r="P3" s="175" t="s">
        <v>282</v>
      </c>
      <c r="Q3" s="175" t="s">
        <v>283</v>
      </c>
      <c r="R3" s="192" t="s">
        <v>292</v>
      </c>
      <c r="S3" s="193"/>
      <c r="T3" s="193"/>
      <c r="U3" s="175" t="s">
        <v>297</v>
      </c>
      <c r="V3" s="163"/>
      <c r="W3" s="175" t="s">
        <v>298</v>
      </c>
      <c r="X3" s="163"/>
      <c r="Y3" s="163"/>
      <c r="Z3" s="175" t="s">
        <v>308</v>
      </c>
      <c r="AA3" s="175" t="s">
        <v>309</v>
      </c>
      <c r="AB3" s="178" t="s">
        <v>304</v>
      </c>
      <c r="AC3" s="178"/>
      <c r="AD3" s="178"/>
      <c r="AE3" s="178"/>
      <c r="AF3" s="178"/>
      <c r="AG3" s="178"/>
      <c r="AH3" s="178"/>
      <c r="AI3" s="178"/>
      <c r="AJ3" s="178"/>
      <c r="AK3" s="178"/>
      <c r="AL3" s="178"/>
      <c r="AM3" s="178" t="s">
        <v>314</v>
      </c>
      <c r="AN3" s="178" t="s">
        <v>329</v>
      </c>
      <c r="AO3" s="178" t="s">
        <v>328</v>
      </c>
      <c r="AP3" s="178" t="s">
        <v>326</v>
      </c>
      <c r="AQ3" s="178" t="s">
        <v>324</v>
      </c>
      <c r="AR3" s="178" t="s">
        <v>325</v>
      </c>
      <c r="AS3" s="178" t="s">
        <v>319</v>
      </c>
      <c r="AT3" s="178" t="s">
        <v>320</v>
      </c>
    </row>
    <row r="4" spans="1:46" ht="123" customHeight="1">
      <c r="A4" s="187"/>
      <c r="B4" s="183"/>
      <c r="C4" s="183"/>
      <c r="D4" s="175"/>
      <c r="E4" s="188"/>
      <c r="F4" s="180"/>
      <c r="G4" s="190"/>
      <c r="H4" s="189"/>
      <c r="I4" s="189"/>
      <c r="J4" s="189"/>
      <c r="K4" s="181"/>
      <c r="L4" s="180"/>
      <c r="M4" s="189" t="s">
        <v>36</v>
      </c>
      <c r="N4" s="180"/>
      <c r="O4" s="187"/>
      <c r="P4" s="175"/>
      <c r="Q4" s="175"/>
      <c r="R4" s="193"/>
      <c r="S4" s="193"/>
      <c r="T4" s="193"/>
      <c r="U4" s="175"/>
      <c r="V4" s="146" t="s">
        <v>296</v>
      </c>
      <c r="W4" s="175"/>
      <c r="X4" s="146" t="s">
        <v>302</v>
      </c>
      <c r="Y4" s="146" t="s">
        <v>303</v>
      </c>
      <c r="Z4" s="175"/>
      <c r="AA4" s="175"/>
      <c r="AB4" s="178" t="s">
        <v>305</v>
      </c>
      <c r="AC4" s="178"/>
      <c r="AD4" s="191"/>
      <c r="AE4" s="178" t="s">
        <v>311</v>
      </c>
      <c r="AF4" s="178"/>
      <c r="AG4" s="178" t="s">
        <v>312</v>
      </c>
      <c r="AH4" s="178"/>
      <c r="AI4" s="179" t="s">
        <v>315</v>
      </c>
      <c r="AJ4" s="179"/>
      <c r="AK4" s="179" t="s">
        <v>316</v>
      </c>
      <c r="AL4" s="179"/>
      <c r="AM4" s="178"/>
      <c r="AN4" s="178"/>
      <c r="AO4" s="178"/>
      <c r="AP4" s="178"/>
      <c r="AQ4" s="178"/>
      <c r="AR4" s="178"/>
      <c r="AS4" s="178"/>
      <c r="AT4" s="178"/>
    </row>
    <row r="5" spans="1:46" ht="124">
      <c r="A5" s="187"/>
      <c r="B5" s="184"/>
      <c r="C5" s="184"/>
      <c r="D5" s="175"/>
      <c r="E5" s="188"/>
      <c r="F5" s="180"/>
      <c r="G5" s="190"/>
      <c r="H5" s="189"/>
      <c r="I5" s="189"/>
      <c r="J5" s="189"/>
      <c r="K5" s="181"/>
      <c r="L5" s="180"/>
      <c r="M5" s="189"/>
      <c r="N5" s="180"/>
      <c r="O5" s="187"/>
      <c r="P5" s="175"/>
      <c r="Q5" s="175"/>
      <c r="R5" s="146" t="s">
        <v>293</v>
      </c>
      <c r="S5" s="146" t="s">
        <v>294</v>
      </c>
      <c r="T5" s="146" t="s">
        <v>295</v>
      </c>
      <c r="U5" s="175"/>
      <c r="V5" s="163"/>
      <c r="W5" s="175"/>
      <c r="X5" s="163"/>
      <c r="Y5" s="163"/>
      <c r="Z5" s="175"/>
      <c r="AA5" s="175"/>
      <c r="AB5" s="167" t="s">
        <v>306</v>
      </c>
      <c r="AC5" s="167" t="s">
        <v>307</v>
      </c>
      <c r="AD5" s="168" t="s">
        <v>310</v>
      </c>
      <c r="AE5" s="167" t="s">
        <v>306</v>
      </c>
      <c r="AF5" s="167" t="s">
        <v>307</v>
      </c>
      <c r="AG5" s="167" t="s">
        <v>306</v>
      </c>
      <c r="AH5" s="167" t="s">
        <v>313</v>
      </c>
      <c r="AI5" s="168" t="s">
        <v>306</v>
      </c>
      <c r="AJ5" s="168" t="s">
        <v>307</v>
      </c>
      <c r="AK5" s="168" t="s">
        <v>306</v>
      </c>
      <c r="AL5" s="168" t="s">
        <v>317</v>
      </c>
      <c r="AM5" s="178"/>
      <c r="AN5" s="178"/>
      <c r="AO5" s="178"/>
      <c r="AP5" s="178"/>
      <c r="AQ5" s="178"/>
      <c r="AR5" s="178"/>
      <c r="AS5" s="178"/>
      <c r="AT5" s="178"/>
    </row>
    <row r="6" spans="1:46" ht="170.5">
      <c r="A6" s="135">
        <v>1</v>
      </c>
      <c r="B6" s="123" t="s">
        <v>38</v>
      </c>
      <c r="C6" s="123"/>
      <c r="D6" s="165" t="s">
        <v>260</v>
      </c>
      <c r="E6" s="116" t="s">
        <v>39</v>
      </c>
      <c r="F6" s="77" t="s">
        <v>40</v>
      </c>
      <c r="G6" s="112" t="s">
        <v>41</v>
      </c>
      <c r="H6" s="112" t="s">
        <v>42</v>
      </c>
      <c r="I6" s="112" t="s">
        <v>43</v>
      </c>
      <c r="J6" s="112" t="s">
        <v>44</v>
      </c>
      <c r="K6" s="120" t="s">
        <v>45</v>
      </c>
      <c r="L6" s="118" t="s">
        <v>46</v>
      </c>
      <c r="M6" s="138" t="s">
        <v>47</v>
      </c>
      <c r="N6" s="77" t="s">
        <v>24</v>
      </c>
      <c r="O6" s="136">
        <f t="shared" ref="O6:O14" si="0">P6*1.23</f>
        <v>123000000</v>
      </c>
      <c r="P6" s="136">
        <v>100000000</v>
      </c>
      <c r="Q6" s="136">
        <v>25000000</v>
      </c>
      <c r="R6" s="154">
        <v>25000000</v>
      </c>
      <c r="S6" s="154"/>
      <c r="T6" s="150"/>
      <c r="U6" s="130">
        <f>33745079/A1</f>
        <v>7883259.1225529136</v>
      </c>
      <c r="V6" s="146" t="s">
        <v>48</v>
      </c>
      <c r="W6" s="41">
        <f>2258796/A1</f>
        <v>527682.10064009717</v>
      </c>
      <c r="X6" s="155">
        <v>45135</v>
      </c>
      <c r="Y6" s="156">
        <v>45265</v>
      </c>
      <c r="Z6" s="151">
        <f>0/A$1</f>
        <v>0</v>
      </c>
      <c r="AA6" s="152" t="s">
        <v>49</v>
      </c>
      <c r="AB6" s="139">
        <v>5326</v>
      </c>
      <c r="AC6" s="53">
        <v>152778</v>
      </c>
      <c r="AD6" s="161">
        <f>AB6/AC6</f>
        <v>3.4861040202123342E-2</v>
      </c>
      <c r="AE6" s="54">
        <v>1783</v>
      </c>
      <c r="AF6" s="54">
        <v>45000</v>
      </c>
      <c r="AG6" s="142" t="s">
        <v>49</v>
      </c>
      <c r="AH6" s="142" t="s">
        <v>49</v>
      </c>
      <c r="AI6" s="162">
        <f>O6/AE6</f>
        <v>68984.856982613579</v>
      </c>
      <c r="AJ6" s="162">
        <f>O6/AF6</f>
        <v>2733.3333333333335</v>
      </c>
      <c r="AK6" s="162">
        <f>SUM(R6+S6+T6)/AE6</f>
        <v>14021.312394840157</v>
      </c>
      <c r="AL6" s="162">
        <f>SUM(R6+S6+T6)/AF6</f>
        <v>555.55555555555554</v>
      </c>
      <c r="AM6" s="169" t="s">
        <v>359</v>
      </c>
      <c r="AN6" s="173" t="s">
        <v>358</v>
      </c>
      <c r="AO6" s="173" t="s">
        <v>322</v>
      </c>
      <c r="AP6" s="173" t="s">
        <v>327</v>
      </c>
      <c r="AQ6" s="173" t="s">
        <v>322</v>
      </c>
      <c r="AR6" s="173" t="s">
        <v>323</v>
      </c>
      <c r="AS6" s="170" t="s">
        <v>318</v>
      </c>
      <c r="AT6" s="170" t="s">
        <v>318</v>
      </c>
    </row>
    <row r="7" spans="1:46" ht="153.65" customHeight="1">
      <c r="A7" s="135">
        <v>2</v>
      </c>
      <c r="B7" s="123" t="s">
        <v>50</v>
      </c>
      <c r="C7" s="123" t="s">
        <v>51</v>
      </c>
      <c r="D7" s="165" t="s">
        <v>264</v>
      </c>
      <c r="E7" s="116" t="s">
        <v>39</v>
      </c>
      <c r="F7" s="77" t="s">
        <v>52</v>
      </c>
      <c r="G7" s="112" t="s">
        <v>41</v>
      </c>
      <c r="H7" s="112" t="s">
        <v>42</v>
      </c>
      <c r="I7" s="112" t="s">
        <v>53</v>
      </c>
      <c r="J7" s="112" t="s">
        <v>44</v>
      </c>
      <c r="K7" s="120" t="s">
        <v>45</v>
      </c>
      <c r="L7" s="118" t="s">
        <v>54</v>
      </c>
      <c r="M7" s="138" t="s">
        <v>55</v>
      </c>
      <c r="N7" s="77" t="s">
        <v>24</v>
      </c>
      <c r="O7" s="136">
        <f t="shared" si="0"/>
        <v>373920000</v>
      </c>
      <c r="P7" s="136">
        <v>304000000</v>
      </c>
      <c r="Q7" s="136">
        <v>222000000</v>
      </c>
      <c r="R7" s="154">
        <f>44000000+178000000</f>
        <v>222000000</v>
      </c>
      <c r="S7" s="154"/>
      <c r="T7" s="150"/>
      <c r="U7" s="130">
        <f>976067367/A1</f>
        <v>228021157.54800731</v>
      </c>
      <c r="V7" s="147" t="s">
        <v>56</v>
      </c>
      <c r="W7" s="41">
        <f>471159301/A1</f>
        <v>110068518.66560763</v>
      </c>
      <c r="X7" s="155">
        <v>45135</v>
      </c>
      <c r="Y7" s="155">
        <v>46003</v>
      </c>
      <c r="Z7" s="151">
        <f>1414705.74/A1</f>
        <v>330492.39358968369</v>
      </c>
      <c r="AA7" s="137" t="s">
        <v>49</v>
      </c>
      <c r="AB7" s="139">
        <v>513849.73</v>
      </c>
      <c r="AC7" s="53" t="s">
        <v>49</v>
      </c>
      <c r="AD7" s="161" t="s">
        <v>49</v>
      </c>
      <c r="AE7" s="54">
        <v>276124</v>
      </c>
      <c r="AF7" s="54">
        <v>362000</v>
      </c>
      <c r="AG7" s="142" t="s">
        <v>49</v>
      </c>
      <c r="AH7" s="142" t="s">
        <v>49</v>
      </c>
      <c r="AI7" s="162">
        <f t="shared" ref="AI7:AI29" si="1">O7/AE7</f>
        <v>1354.1742115860991</v>
      </c>
      <c r="AJ7" s="162">
        <f t="shared" ref="AJ7:AJ29" si="2">O7/AF7</f>
        <v>1032.9281767955802</v>
      </c>
      <c r="AK7" s="160">
        <f t="shared" ref="AK7:AK29" si="3">SUM(R7+S7+T7)/AE7</f>
        <v>803.98661470933348</v>
      </c>
      <c r="AL7" s="160">
        <f t="shared" ref="AL7:AL29" si="4">SUM(R7+S7+T7)/AF7</f>
        <v>613.25966850828729</v>
      </c>
      <c r="AM7" s="169" t="s">
        <v>359</v>
      </c>
      <c r="AN7" s="173" t="s">
        <v>357</v>
      </c>
      <c r="AO7" s="173" t="s">
        <v>322</v>
      </c>
      <c r="AP7" s="173" t="s">
        <v>327</v>
      </c>
      <c r="AQ7" s="173" t="s">
        <v>322</v>
      </c>
      <c r="AR7" s="173" t="s">
        <v>323</v>
      </c>
      <c r="AS7" s="170" t="s">
        <v>318</v>
      </c>
      <c r="AT7" s="170" t="s">
        <v>318</v>
      </c>
    </row>
    <row r="8" spans="1:46" ht="147" customHeight="1">
      <c r="A8" s="135">
        <v>3</v>
      </c>
      <c r="B8" s="123" t="s">
        <v>57</v>
      </c>
      <c r="C8" s="123" t="s">
        <v>58</v>
      </c>
      <c r="D8" s="165" t="s">
        <v>265</v>
      </c>
      <c r="E8" s="116" t="s">
        <v>39</v>
      </c>
      <c r="F8" s="77" t="s">
        <v>52</v>
      </c>
      <c r="G8" s="112" t="s">
        <v>41</v>
      </c>
      <c r="H8" s="112" t="s">
        <v>42</v>
      </c>
      <c r="I8" s="112" t="s">
        <v>59</v>
      </c>
      <c r="J8" s="112" t="s">
        <v>44</v>
      </c>
      <c r="K8" s="120" t="s">
        <v>45</v>
      </c>
      <c r="L8" s="118" t="s">
        <v>60</v>
      </c>
      <c r="M8" s="138" t="s">
        <v>55</v>
      </c>
      <c r="N8" s="77" t="s">
        <v>24</v>
      </c>
      <c r="O8" s="136">
        <f t="shared" si="0"/>
        <v>455100000</v>
      </c>
      <c r="P8" s="136">
        <v>370000000</v>
      </c>
      <c r="Q8" s="136">
        <v>222000000</v>
      </c>
      <c r="R8" s="154">
        <f>22000000+105000000</f>
        <v>127000000</v>
      </c>
      <c r="S8" s="154"/>
      <c r="T8" s="150"/>
      <c r="U8" s="130">
        <f>768615492/A1</f>
        <v>179557887.21207309</v>
      </c>
      <c r="V8" s="148" t="s">
        <v>61</v>
      </c>
      <c r="W8" s="41">
        <f>312770261/A1</f>
        <v>73066920.758772135</v>
      </c>
      <c r="X8" s="155">
        <v>45133</v>
      </c>
      <c r="Y8" s="155">
        <v>46014</v>
      </c>
      <c r="Z8" s="151">
        <f>0/A1</f>
        <v>0</v>
      </c>
      <c r="AA8" s="137" t="s">
        <v>49</v>
      </c>
      <c r="AB8" s="139" t="s">
        <v>49</v>
      </c>
      <c r="AC8" s="53" t="s">
        <v>49</v>
      </c>
      <c r="AD8" s="161" t="s">
        <v>49</v>
      </c>
      <c r="AE8" s="54">
        <v>19071</v>
      </c>
      <c r="AF8" s="54">
        <v>3443</v>
      </c>
      <c r="AG8" s="142" t="s">
        <v>49</v>
      </c>
      <c r="AH8" s="142" t="s">
        <v>49</v>
      </c>
      <c r="AI8" s="162">
        <f t="shared" si="1"/>
        <v>23863.457605788895</v>
      </c>
      <c r="AJ8" s="162">
        <f t="shared" si="2"/>
        <v>132181.23729305837</v>
      </c>
      <c r="AK8" s="160">
        <f t="shared" si="3"/>
        <v>6659.325677730586</v>
      </c>
      <c r="AL8" s="160">
        <f t="shared" si="4"/>
        <v>36886.436247458609</v>
      </c>
      <c r="AM8" s="169" t="s">
        <v>359</v>
      </c>
      <c r="AN8" s="173" t="s">
        <v>356</v>
      </c>
      <c r="AO8" s="173" t="s">
        <v>322</v>
      </c>
      <c r="AP8" s="173" t="s">
        <v>327</v>
      </c>
      <c r="AQ8" s="173" t="s">
        <v>322</v>
      </c>
      <c r="AR8" s="173" t="s">
        <v>323</v>
      </c>
      <c r="AS8" s="170" t="s">
        <v>318</v>
      </c>
      <c r="AT8" s="170" t="s">
        <v>318</v>
      </c>
    </row>
    <row r="9" spans="1:46" ht="116">
      <c r="A9" s="135">
        <v>4</v>
      </c>
      <c r="B9" s="123" t="s">
        <v>62</v>
      </c>
      <c r="C9" s="123" t="s">
        <v>63</v>
      </c>
      <c r="D9" s="165" t="s">
        <v>362</v>
      </c>
      <c r="E9" s="116" t="s">
        <v>39</v>
      </c>
      <c r="F9" s="77" t="s">
        <v>52</v>
      </c>
      <c r="G9" s="112" t="s">
        <v>41</v>
      </c>
      <c r="H9" s="112" t="s">
        <v>42</v>
      </c>
      <c r="I9" s="112" t="s">
        <v>64</v>
      </c>
      <c r="J9" s="112" t="s">
        <v>65</v>
      </c>
      <c r="K9" s="120" t="s">
        <v>45</v>
      </c>
      <c r="L9" s="118" t="s">
        <v>66</v>
      </c>
      <c r="M9" s="138" t="s">
        <v>67</v>
      </c>
      <c r="N9" s="77" t="s">
        <v>24</v>
      </c>
      <c r="O9" s="136">
        <f t="shared" si="0"/>
        <v>546120000</v>
      </c>
      <c r="P9" s="136">
        <v>444000000</v>
      </c>
      <c r="Q9" s="136">
        <v>444000000</v>
      </c>
      <c r="R9" s="154">
        <f>44440000+24700000</f>
        <v>69140000</v>
      </c>
      <c r="S9" s="154"/>
      <c r="T9" s="150"/>
      <c r="U9" s="130">
        <f>131804645/A1</f>
        <v>30791161.285801057</v>
      </c>
      <c r="V9" s="148" t="s">
        <v>68</v>
      </c>
      <c r="W9" s="41">
        <f>2000000/A1</f>
        <v>467224.22090361168</v>
      </c>
      <c r="X9" s="155">
        <v>45260</v>
      </c>
      <c r="Y9" s="155">
        <v>45260</v>
      </c>
      <c r="Z9" s="151">
        <f>2000000/A1</f>
        <v>467224.22090361168</v>
      </c>
      <c r="AA9" s="137" t="s">
        <v>49</v>
      </c>
      <c r="AB9" s="139">
        <v>185987</v>
      </c>
      <c r="AC9" s="53">
        <v>2660000</v>
      </c>
      <c r="AD9" s="161">
        <f>AB9/AC9</f>
        <v>6.9919924812030076E-2</v>
      </c>
      <c r="AE9" s="54">
        <v>287563</v>
      </c>
      <c r="AF9" s="54">
        <v>3192000</v>
      </c>
      <c r="AG9" s="142" t="s">
        <v>49</v>
      </c>
      <c r="AH9" s="142" t="s">
        <v>69</v>
      </c>
      <c r="AI9" s="162">
        <f t="shared" si="1"/>
        <v>1899.1316685387203</v>
      </c>
      <c r="AJ9" s="162">
        <f t="shared" si="2"/>
        <v>171.09022556390977</v>
      </c>
      <c r="AK9" s="160">
        <f t="shared" si="3"/>
        <v>240.4342700556052</v>
      </c>
      <c r="AL9" s="160">
        <f t="shared" si="4"/>
        <v>21.660401002506266</v>
      </c>
      <c r="AM9" s="169" t="s">
        <v>359</v>
      </c>
      <c r="AN9" s="173" t="s">
        <v>354</v>
      </c>
      <c r="AO9" s="173" t="s">
        <v>322</v>
      </c>
      <c r="AP9" s="173" t="s">
        <v>327</v>
      </c>
      <c r="AQ9" s="173" t="s">
        <v>322</v>
      </c>
      <c r="AR9" s="173" t="s">
        <v>323</v>
      </c>
      <c r="AS9" s="170" t="s">
        <v>318</v>
      </c>
      <c r="AT9" s="170" t="s">
        <v>318</v>
      </c>
    </row>
    <row r="10" spans="1:46" ht="116">
      <c r="A10" s="135">
        <v>5</v>
      </c>
      <c r="B10" s="123" t="s">
        <v>70</v>
      </c>
      <c r="C10" s="123"/>
      <c r="D10" s="165" t="s">
        <v>363</v>
      </c>
      <c r="E10" s="116" t="s">
        <v>39</v>
      </c>
      <c r="F10" s="77" t="s">
        <v>52</v>
      </c>
      <c r="G10" s="112" t="s">
        <v>41</v>
      </c>
      <c r="H10" s="112" t="s">
        <v>71</v>
      </c>
      <c r="I10" s="112" t="s">
        <v>64</v>
      </c>
      <c r="J10" s="112" t="s">
        <v>65</v>
      </c>
      <c r="K10" s="120" t="s">
        <v>45</v>
      </c>
      <c r="L10" s="118" t="s">
        <v>72</v>
      </c>
      <c r="M10" s="138" t="s">
        <v>67</v>
      </c>
      <c r="N10" s="77" t="s">
        <v>24</v>
      </c>
      <c r="O10" s="136">
        <f t="shared" si="0"/>
        <v>410820000</v>
      </c>
      <c r="P10" s="136">
        <f>334000000</f>
        <v>334000000</v>
      </c>
      <c r="Q10" s="136">
        <v>334000000</v>
      </c>
      <c r="R10" s="154"/>
      <c r="S10" s="154">
        <v>44570000</v>
      </c>
      <c r="T10" s="150"/>
      <c r="U10" s="130">
        <f>26801000/A1</f>
        <v>6261038.172218848</v>
      </c>
      <c r="V10" s="148" t="s">
        <v>73</v>
      </c>
      <c r="W10" s="41">
        <f>0/A1</f>
        <v>0</v>
      </c>
      <c r="X10" s="157" t="s">
        <v>49</v>
      </c>
      <c r="Y10" s="157" t="s">
        <v>49</v>
      </c>
      <c r="Z10" s="151">
        <v>0</v>
      </c>
      <c r="AA10" s="137" t="s">
        <v>49</v>
      </c>
      <c r="AB10" s="139">
        <v>15896</v>
      </c>
      <c r="AC10" s="53">
        <v>2006667</v>
      </c>
      <c r="AD10" s="161">
        <f>AB10/AC10</f>
        <v>7.9215933685060844E-3</v>
      </c>
      <c r="AE10" s="54">
        <v>12877</v>
      </c>
      <c r="AF10" s="54">
        <v>2408000</v>
      </c>
      <c r="AG10" s="142" t="s">
        <v>49</v>
      </c>
      <c r="AH10" s="142" t="s">
        <v>49</v>
      </c>
      <c r="AI10" s="162">
        <f t="shared" si="1"/>
        <v>31903.393647588724</v>
      </c>
      <c r="AJ10" s="162">
        <f t="shared" si="2"/>
        <v>170.60631229235881</v>
      </c>
      <c r="AK10" s="160">
        <f t="shared" si="3"/>
        <v>3461.2099091403279</v>
      </c>
      <c r="AL10" s="160">
        <f t="shared" si="4"/>
        <v>18.509136212624586</v>
      </c>
      <c r="AM10" s="169" t="s">
        <v>359</v>
      </c>
      <c r="AN10" s="173" t="s">
        <v>355</v>
      </c>
      <c r="AO10" s="173" t="s">
        <v>322</v>
      </c>
      <c r="AP10" s="173" t="s">
        <v>327</v>
      </c>
      <c r="AQ10" s="173" t="s">
        <v>322</v>
      </c>
      <c r="AR10" s="173" t="s">
        <v>323</v>
      </c>
      <c r="AS10" s="170" t="s">
        <v>318</v>
      </c>
      <c r="AT10" s="173" t="s">
        <v>321</v>
      </c>
    </row>
    <row r="11" spans="1:46" ht="139.5">
      <c r="A11" s="135">
        <v>6</v>
      </c>
      <c r="B11" s="123" t="s">
        <v>74</v>
      </c>
      <c r="C11" s="164"/>
      <c r="D11" s="165" t="s">
        <v>364</v>
      </c>
      <c r="E11" s="116" t="s">
        <v>39</v>
      </c>
      <c r="F11" s="77" t="s">
        <v>52</v>
      </c>
      <c r="G11" s="112" t="s">
        <v>41</v>
      </c>
      <c r="H11" s="112" t="s">
        <v>42</v>
      </c>
      <c r="I11" s="112" t="s">
        <v>64</v>
      </c>
      <c r="J11" s="112" t="s">
        <v>65</v>
      </c>
      <c r="K11" s="120" t="s">
        <v>45</v>
      </c>
      <c r="L11" s="118" t="s">
        <v>75</v>
      </c>
      <c r="M11" s="138" t="s">
        <v>76</v>
      </c>
      <c r="N11" s="77" t="s">
        <v>24</v>
      </c>
      <c r="O11" s="136">
        <f t="shared" si="0"/>
        <v>819991800</v>
      </c>
      <c r="P11" s="136">
        <v>666660000</v>
      </c>
      <c r="Q11" s="136">
        <v>666660000</v>
      </c>
      <c r="R11" s="154">
        <f>66600000</f>
        <v>66600000</v>
      </c>
      <c r="S11" s="154"/>
      <c r="T11" s="150"/>
      <c r="U11" s="130">
        <f>160553908/A1</f>
        <v>37507337.289165072</v>
      </c>
      <c r="V11" s="148" t="s">
        <v>77</v>
      </c>
      <c r="W11" s="41">
        <f>10000/A1</f>
        <v>2336.1211045180585</v>
      </c>
      <c r="X11" s="155">
        <v>45268</v>
      </c>
      <c r="Y11" s="155">
        <v>45268</v>
      </c>
      <c r="Z11" s="151">
        <v>0</v>
      </c>
      <c r="AA11" s="137" t="s">
        <v>49</v>
      </c>
      <c r="AB11" s="139">
        <v>406703</v>
      </c>
      <c r="AC11" s="53">
        <v>4166667</v>
      </c>
      <c r="AD11" s="161">
        <f>AB11/AC11</f>
        <v>9.7608712191303029E-2</v>
      </c>
      <c r="AE11" s="54">
        <v>66828</v>
      </c>
      <c r="AF11" s="54">
        <v>6000000</v>
      </c>
      <c r="AG11" s="142" t="s">
        <v>49</v>
      </c>
      <c r="AH11" s="142" t="s">
        <v>49</v>
      </c>
      <c r="AI11" s="162">
        <f t="shared" si="1"/>
        <v>12270.183156760639</v>
      </c>
      <c r="AJ11" s="162">
        <f t="shared" si="2"/>
        <v>136.6653</v>
      </c>
      <c r="AK11" s="160">
        <f t="shared" si="3"/>
        <v>996.58825641946487</v>
      </c>
      <c r="AL11" s="160">
        <f t="shared" si="4"/>
        <v>11.1</v>
      </c>
      <c r="AM11" s="169" t="s">
        <v>359</v>
      </c>
      <c r="AN11" s="173" t="s">
        <v>353</v>
      </c>
      <c r="AO11" s="173" t="s">
        <v>322</v>
      </c>
      <c r="AP11" s="173" t="s">
        <v>327</v>
      </c>
      <c r="AQ11" s="173" t="s">
        <v>322</v>
      </c>
      <c r="AR11" s="173" t="s">
        <v>323</v>
      </c>
      <c r="AS11" s="170" t="s">
        <v>318</v>
      </c>
      <c r="AT11" s="170" t="s">
        <v>318</v>
      </c>
    </row>
    <row r="12" spans="1:46" ht="116">
      <c r="A12" s="135">
        <v>7</v>
      </c>
      <c r="B12" s="123" t="s">
        <v>78</v>
      </c>
      <c r="C12" s="123" t="s">
        <v>79</v>
      </c>
      <c r="D12" s="165" t="s">
        <v>365</v>
      </c>
      <c r="E12" s="116" t="s">
        <v>39</v>
      </c>
      <c r="F12" s="77" t="s">
        <v>40</v>
      </c>
      <c r="G12" s="138" t="s">
        <v>41</v>
      </c>
      <c r="H12" s="138" t="s">
        <v>71</v>
      </c>
      <c r="I12" s="138" t="s">
        <v>64</v>
      </c>
      <c r="J12" s="138" t="s">
        <v>65</v>
      </c>
      <c r="K12" s="120" t="s">
        <v>45</v>
      </c>
      <c r="L12" s="118" t="s">
        <v>80</v>
      </c>
      <c r="M12" s="138" t="s">
        <v>76</v>
      </c>
      <c r="N12" s="77" t="s">
        <v>24</v>
      </c>
      <c r="O12" s="136">
        <f t="shared" si="0"/>
        <v>27330600</v>
      </c>
      <c r="P12" s="136">
        <v>22220000</v>
      </c>
      <c r="Q12" s="136">
        <v>22220000</v>
      </c>
      <c r="R12" s="154">
        <v>20000000</v>
      </c>
      <c r="S12" s="154">
        <f>2220000</f>
        <v>2220000</v>
      </c>
      <c r="T12" s="150"/>
      <c r="U12" s="130">
        <f>105224980/A1</f>
        <v>24581829.650049061</v>
      </c>
      <c r="V12" s="148" t="s">
        <v>81</v>
      </c>
      <c r="W12" s="41">
        <f>84179984/A1</f>
        <v>19665463.720039248</v>
      </c>
      <c r="X12" s="155">
        <v>45533</v>
      </c>
      <c r="Y12" s="155">
        <v>46007</v>
      </c>
      <c r="Z12" s="151">
        <f>15106103.61/A1</f>
        <v>3528968.7450357429</v>
      </c>
      <c r="AA12" s="53" t="s">
        <v>49</v>
      </c>
      <c r="AB12" s="139">
        <v>77268</v>
      </c>
      <c r="AC12" s="53">
        <v>55556</v>
      </c>
      <c r="AD12" s="161">
        <f>AB12/AC12</f>
        <v>1.390812873497012</v>
      </c>
      <c r="AE12" s="54">
        <v>39309</v>
      </c>
      <c r="AF12" s="54">
        <v>60000</v>
      </c>
      <c r="AG12" s="142">
        <v>7.35</v>
      </c>
      <c r="AH12" s="142" t="s">
        <v>49</v>
      </c>
      <c r="AI12" s="162">
        <f t="shared" si="1"/>
        <v>695.27589101732428</v>
      </c>
      <c r="AJ12" s="162">
        <f t="shared" si="2"/>
        <v>455.51</v>
      </c>
      <c r="AK12" s="160">
        <f t="shared" si="3"/>
        <v>565.26495204660512</v>
      </c>
      <c r="AL12" s="160">
        <f t="shared" si="4"/>
        <v>370.33333333333331</v>
      </c>
      <c r="AM12" s="169" t="s">
        <v>359</v>
      </c>
      <c r="AN12" s="173" t="s">
        <v>351</v>
      </c>
      <c r="AO12" s="173" t="s">
        <v>322</v>
      </c>
      <c r="AP12" s="173" t="s">
        <v>327</v>
      </c>
      <c r="AQ12" s="173" t="s">
        <v>322</v>
      </c>
      <c r="AR12" s="173" t="s">
        <v>323</v>
      </c>
      <c r="AS12" s="170" t="s">
        <v>318</v>
      </c>
      <c r="AT12" s="170" t="s">
        <v>318</v>
      </c>
    </row>
    <row r="13" spans="1:46" ht="88.25" customHeight="1">
      <c r="A13" s="135">
        <v>8</v>
      </c>
      <c r="B13" s="123" t="s">
        <v>82</v>
      </c>
      <c r="C13" s="123"/>
      <c r="D13" s="165" t="s">
        <v>266</v>
      </c>
      <c r="E13" s="116" t="s">
        <v>39</v>
      </c>
      <c r="F13" s="77" t="s">
        <v>52</v>
      </c>
      <c r="G13" s="112" t="s">
        <v>41</v>
      </c>
      <c r="H13" s="112" t="s">
        <v>42</v>
      </c>
      <c r="I13" s="112" t="s">
        <v>64</v>
      </c>
      <c r="J13" s="112" t="s">
        <v>65</v>
      </c>
      <c r="K13" s="120" t="s">
        <v>45</v>
      </c>
      <c r="L13" s="119" t="s">
        <v>83</v>
      </c>
      <c r="M13" s="138" t="s">
        <v>76</v>
      </c>
      <c r="N13" s="77" t="s">
        <v>24</v>
      </c>
      <c r="O13" s="136">
        <f t="shared" si="0"/>
        <v>136665300</v>
      </c>
      <c r="P13" s="136">
        <v>111110000</v>
      </c>
      <c r="Q13" s="136">
        <v>111110000</v>
      </c>
      <c r="R13" s="154">
        <v>33300000</v>
      </c>
      <c r="S13" s="154"/>
      <c r="T13" s="150"/>
      <c r="U13" s="130">
        <f>189801500/A1</f>
        <v>44339928.981918424</v>
      </c>
      <c r="V13" s="148" t="s">
        <v>291</v>
      </c>
      <c r="W13" s="41">
        <f>36690097/A1</f>
        <v>8571250.9928514697</v>
      </c>
      <c r="X13" s="155">
        <v>45266</v>
      </c>
      <c r="Y13" s="155">
        <v>45989</v>
      </c>
      <c r="Z13" s="151">
        <f>6403795.34/A1</f>
        <v>1496004.1442788395</v>
      </c>
      <c r="AA13" s="137" t="s">
        <v>49</v>
      </c>
      <c r="AB13" s="139">
        <v>124084</v>
      </c>
      <c r="AC13" s="53">
        <v>83333</v>
      </c>
      <c r="AD13" s="161">
        <f>AB13/AC13</f>
        <v>1.4890139560558242</v>
      </c>
      <c r="AE13" s="54">
        <v>37123</v>
      </c>
      <c r="AF13" s="54">
        <v>37000</v>
      </c>
      <c r="AG13" s="142" t="s">
        <v>49</v>
      </c>
      <c r="AH13" s="142" t="s">
        <v>49</v>
      </c>
      <c r="AI13" s="162">
        <f t="shared" si="1"/>
        <v>3681.4185275974464</v>
      </c>
      <c r="AJ13" s="162">
        <f t="shared" si="2"/>
        <v>3693.6567567567567</v>
      </c>
      <c r="AK13" s="160">
        <f t="shared" si="3"/>
        <v>897.01802117285774</v>
      </c>
      <c r="AL13" s="160">
        <f t="shared" si="4"/>
        <v>900</v>
      </c>
      <c r="AM13" s="169" t="s">
        <v>359</v>
      </c>
      <c r="AN13" s="173" t="s">
        <v>352</v>
      </c>
      <c r="AO13" s="173" t="s">
        <v>322</v>
      </c>
      <c r="AP13" s="173" t="s">
        <v>327</v>
      </c>
      <c r="AQ13" s="173" t="s">
        <v>322</v>
      </c>
      <c r="AR13" s="173" t="s">
        <v>323</v>
      </c>
      <c r="AS13" s="170" t="s">
        <v>318</v>
      </c>
      <c r="AT13" s="170" t="s">
        <v>318</v>
      </c>
    </row>
    <row r="14" spans="1:46" ht="116">
      <c r="A14" s="135">
        <v>9</v>
      </c>
      <c r="B14" s="123" t="s">
        <v>84</v>
      </c>
      <c r="C14" s="123" t="s">
        <v>85</v>
      </c>
      <c r="D14" s="165" t="s">
        <v>366</v>
      </c>
      <c r="E14" s="116" t="s">
        <v>39</v>
      </c>
      <c r="F14" s="77" t="s">
        <v>52</v>
      </c>
      <c r="G14" s="138" t="s">
        <v>41</v>
      </c>
      <c r="H14" s="138" t="s">
        <v>42</v>
      </c>
      <c r="I14" s="138" t="s">
        <v>64</v>
      </c>
      <c r="J14" s="138" t="s">
        <v>65</v>
      </c>
      <c r="K14" s="120" t="s">
        <v>45</v>
      </c>
      <c r="L14" s="118" t="s">
        <v>86</v>
      </c>
      <c r="M14" s="138" t="s">
        <v>87</v>
      </c>
      <c r="N14" s="77" t="s">
        <v>24</v>
      </c>
      <c r="O14" s="136">
        <f t="shared" si="0"/>
        <v>273060000</v>
      </c>
      <c r="P14" s="136">
        <v>222000000</v>
      </c>
      <c r="Q14" s="136">
        <v>222000000</v>
      </c>
      <c r="R14" s="154">
        <f>44400000+177600000</f>
        <v>222000000</v>
      </c>
      <c r="S14" s="154">
        <v>400000000</v>
      </c>
      <c r="T14" s="150"/>
      <c r="U14" s="130">
        <f>465199605/A1</f>
        <v>108676261.50539644</v>
      </c>
      <c r="V14" s="148" t="s">
        <v>88</v>
      </c>
      <c r="W14" s="41">
        <f>24699110/A1</f>
        <v>5770011.2133813016</v>
      </c>
      <c r="X14" s="155">
        <v>45266</v>
      </c>
      <c r="Y14" s="155">
        <v>45266</v>
      </c>
      <c r="Z14" s="151">
        <v>134759.69</v>
      </c>
      <c r="AA14" s="137" t="s">
        <v>49</v>
      </c>
      <c r="AB14" s="139">
        <v>32510</v>
      </c>
      <c r="AC14" s="53" t="s">
        <v>49</v>
      </c>
      <c r="AD14" s="161" t="s">
        <v>49</v>
      </c>
      <c r="AE14" s="54">
        <v>6694</v>
      </c>
      <c r="AF14" s="54">
        <v>151295</v>
      </c>
      <c r="AG14" s="142" t="s">
        <v>49</v>
      </c>
      <c r="AH14" s="142" t="s">
        <v>49</v>
      </c>
      <c r="AI14" s="162">
        <f t="shared" si="1"/>
        <v>40791.753809381538</v>
      </c>
      <c r="AJ14" s="162">
        <f t="shared" si="2"/>
        <v>1804.8184011368519</v>
      </c>
      <c r="AK14" s="160">
        <f t="shared" si="3"/>
        <v>92919.031968927404</v>
      </c>
      <c r="AL14" s="160">
        <f t="shared" si="4"/>
        <v>4111.1735351465677</v>
      </c>
      <c r="AM14" s="169" t="s">
        <v>359</v>
      </c>
      <c r="AN14" s="173" t="s">
        <v>350</v>
      </c>
      <c r="AO14" s="173" t="s">
        <v>322</v>
      </c>
      <c r="AP14" s="173" t="s">
        <v>327</v>
      </c>
      <c r="AQ14" s="173" t="s">
        <v>322</v>
      </c>
      <c r="AR14" s="173" t="s">
        <v>323</v>
      </c>
      <c r="AS14" s="170" t="s">
        <v>318</v>
      </c>
      <c r="AT14" s="170" t="s">
        <v>318</v>
      </c>
    </row>
    <row r="15" spans="1:46" ht="116">
      <c r="A15" s="135">
        <v>10</v>
      </c>
      <c r="B15" s="123" t="s">
        <v>89</v>
      </c>
      <c r="C15" s="123" t="s">
        <v>90</v>
      </c>
      <c r="D15" s="165" t="s">
        <v>366</v>
      </c>
      <c r="E15" s="116" t="s">
        <v>39</v>
      </c>
      <c r="F15" s="77" t="s">
        <v>52</v>
      </c>
      <c r="G15" s="138" t="s">
        <v>41</v>
      </c>
      <c r="H15" s="138" t="s">
        <v>42</v>
      </c>
      <c r="I15" s="138" t="s">
        <v>64</v>
      </c>
      <c r="J15" s="138" t="s">
        <v>65</v>
      </c>
      <c r="K15" s="120" t="s">
        <v>45</v>
      </c>
      <c r="L15" s="118" t="s">
        <v>86</v>
      </c>
      <c r="M15" s="138" t="s">
        <v>87</v>
      </c>
      <c r="N15" s="77" t="s">
        <v>24</v>
      </c>
      <c r="O15" s="136">
        <f>(755000000-222000000)*1.23</f>
        <v>655590000</v>
      </c>
      <c r="P15" s="136">
        <v>533000000</v>
      </c>
      <c r="Q15" s="136">
        <v>444000000</v>
      </c>
      <c r="R15" s="154">
        <v>44400000</v>
      </c>
      <c r="S15" s="154">
        <v>399600000</v>
      </c>
      <c r="T15" s="150"/>
      <c r="U15" s="130">
        <f>1977850700/A1</f>
        <v>462049876.18558151</v>
      </c>
      <c r="V15" s="148" t="s">
        <v>290</v>
      </c>
      <c r="W15" s="41">
        <f>253376875/A1</f>
        <v>59191906.508433402</v>
      </c>
      <c r="X15" s="155">
        <v>45261</v>
      </c>
      <c r="Y15" s="155">
        <v>45261</v>
      </c>
      <c r="Z15" s="151">
        <v>0</v>
      </c>
      <c r="AA15" s="137" t="s">
        <v>49</v>
      </c>
      <c r="AB15" s="139">
        <v>171751</v>
      </c>
      <c r="AC15" s="53" t="s">
        <v>49</v>
      </c>
      <c r="AD15" s="161" t="s">
        <v>49</v>
      </c>
      <c r="AE15" s="54">
        <v>284049</v>
      </c>
      <c r="AF15" s="54">
        <v>5680980</v>
      </c>
      <c r="AG15" s="142" t="s">
        <v>49</v>
      </c>
      <c r="AH15" s="142" t="s">
        <v>49</v>
      </c>
      <c r="AI15" s="162">
        <f t="shared" si="1"/>
        <v>2308.017278708955</v>
      </c>
      <c r="AJ15" s="162">
        <f t="shared" si="2"/>
        <v>115.40086393544776</v>
      </c>
      <c r="AK15" s="160">
        <f t="shared" si="3"/>
        <v>1563.1105900742477</v>
      </c>
      <c r="AL15" s="160">
        <f t="shared" si="4"/>
        <v>78.155529503712387</v>
      </c>
      <c r="AM15" s="169" t="s">
        <v>359</v>
      </c>
      <c r="AN15" s="173" t="s">
        <v>349</v>
      </c>
      <c r="AO15" s="173" t="s">
        <v>322</v>
      </c>
      <c r="AP15" s="173" t="s">
        <v>327</v>
      </c>
      <c r="AQ15" s="173" t="s">
        <v>322</v>
      </c>
      <c r="AR15" s="173" t="s">
        <v>323</v>
      </c>
      <c r="AS15" s="170" t="s">
        <v>318</v>
      </c>
      <c r="AT15" s="170" t="s">
        <v>318</v>
      </c>
    </row>
    <row r="16" spans="1:46" ht="116">
      <c r="A16" s="135">
        <v>11</v>
      </c>
      <c r="B16" s="123" t="s">
        <v>91</v>
      </c>
      <c r="C16" s="123" t="s">
        <v>92</v>
      </c>
      <c r="D16" s="165" t="s">
        <v>366</v>
      </c>
      <c r="E16" s="116" t="s">
        <v>39</v>
      </c>
      <c r="F16" s="77" t="s">
        <v>52</v>
      </c>
      <c r="G16" s="138" t="s">
        <v>41</v>
      </c>
      <c r="H16" s="138" t="s">
        <v>42</v>
      </c>
      <c r="I16" s="138" t="s">
        <v>64</v>
      </c>
      <c r="J16" s="138" t="s">
        <v>65</v>
      </c>
      <c r="K16" s="120" t="s">
        <v>45</v>
      </c>
      <c r="L16" s="118" t="s">
        <v>86</v>
      </c>
      <c r="M16" s="138" t="s">
        <v>87</v>
      </c>
      <c r="N16" s="77" t="s">
        <v>24</v>
      </c>
      <c r="O16" s="136">
        <v>933000000</v>
      </c>
      <c r="P16" s="136">
        <v>755000000</v>
      </c>
      <c r="Q16" s="136">
        <v>666000000</v>
      </c>
      <c r="R16" s="154"/>
      <c r="S16" s="154">
        <f>44400000+178000000</f>
        <v>222400000</v>
      </c>
      <c r="T16" s="150"/>
      <c r="U16" s="130">
        <f>499279651/A1</f>
        <v>116637772.97575107</v>
      </c>
      <c r="V16" s="148" t="s">
        <v>93</v>
      </c>
      <c r="W16" s="41">
        <f>59389000/A1</f>
        <v>13873989.627622297</v>
      </c>
      <c r="X16" s="155">
        <v>45925</v>
      </c>
      <c r="Y16" s="155">
        <v>45925</v>
      </c>
      <c r="Z16" s="151">
        <v>0</v>
      </c>
      <c r="AA16" s="137" t="s">
        <v>49</v>
      </c>
      <c r="AB16" s="139">
        <v>54562</v>
      </c>
      <c r="AC16" s="53" t="s">
        <v>49</v>
      </c>
      <c r="AD16" s="161" t="s">
        <v>49</v>
      </c>
      <c r="AE16" s="54">
        <v>50739</v>
      </c>
      <c r="AF16" s="54">
        <v>1197362</v>
      </c>
      <c r="AG16" s="142" t="s">
        <v>49</v>
      </c>
      <c r="AH16" s="142" t="s">
        <v>49</v>
      </c>
      <c r="AI16" s="162">
        <f t="shared" si="1"/>
        <v>18388.222077691717</v>
      </c>
      <c r="AJ16" s="162">
        <f t="shared" si="2"/>
        <v>779.21296984537673</v>
      </c>
      <c r="AK16" s="160">
        <f t="shared" si="3"/>
        <v>4383.2160665365891</v>
      </c>
      <c r="AL16" s="160">
        <f t="shared" si="4"/>
        <v>185.74165540580043</v>
      </c>
      <c r="AM16" s="169" t="s">
        <v>359</v>
      </c>
      <c r="AN16" s="173" t="s">
        <v>348</v>
      </c>
      <c r="AO16" s="173" t="s">
        <v>322</v>
      </c>
      <c r="AP16" s="173" t="s">
        <v>327</v>
      </c>
      <c r="AQ16" s="173" t="s">
        <v>322</v>
      </c>
      <c r="AR16" s="173" t="s">
        <v>323</v>
      </c>
      <c r="AS16" s="170" t="s">
        <v>318</v>
      </c>
      <c r="AT16" s="170" t="s">
        <v>318</v>
      </c>
    </row>
    <row r="17" spans="1:46" ht="116">
      <c r="A17" s="135">
        <v>12</v>
      </c>
      <c r="B17" s="123" t="s">
        <v>94</v>
      </c>
      <c r="C17" s="123"/>
      <c r="D17" s="165" t="s">
        <v>267</v>
      </c>
      <c r="E17" s="116" t="s">
        <v>39</v>
      </c>
      <c r="F17" s="127" t="s">
        <v>52</v>
      </c>
      <c r="G17" s="112" t="s">
        <v>41</v>
      </c>
      <c r="H17" s="112" t="s">
        <v>42</v>
      </c>
      <c r="I17" s="112" t="s">
        <v>59</v>
      </c>
      <c r="J17" s="112" t="s">
        <v>44</v>
      </c>
      <c r="K17" s="120" t="s">
        <v>45</v>
      </c>
      <c r="L17" s="118" t="s">
        <v>95</v>
      </c>
      <c r="M17" s="138" t="s">
        <v>55</v>
      </c>
      <c r="N17" s="77" t="s">
        <v>24</v>
      </c>
      <c r="O17" s="136">
        <f>P17*1.23</f>
        <v>492000000</v>
      </c>
      <c r="P17" s="136">
        <v>400000000</v>
      </c>
      <c r="Q17" s="136">
        <v>222220000</v>
      </c>
      <c r="R17" s="154">
        <v>44440000</v>
      </c>
      <c r="S17" s="154"/>
      <c r="T17" s="150"/>
      <c r="U17" s="130">
        <f>85173000/A1</f>
        <v>19897444.283511657</v>
      </c>
      <c r="V17" s="148" t="s">
        <v>96</v>
      </c>
      <c r="W17" s="41">
        <f>280800/A1</f>
        <v>65598.280614867079</v>
      </c>
      <c r="X17" s="155">
        <v>45273</v>
      </c>
      <c r="Y17" s="155">
        <v>45622</v>
      </c>
      <c r="Z17" s="151">
        <v>0</v>
      </c>
      <c r="AA17" s="137" t="s">
        <v>49</v>
      </c>
      <c r="AB17" s="139" t="s">
        <v>49</v>
      </c>
      <c r="AC17" s="53" t="s">
        <v>49</v>
      </c>
      <c r="AD17" s="161" t="s">
        <v>49</v>
      </c>
      <c r="AE17" s="54">
        <v>2520</v>
      </c>
      <c r="AF17" s="54">
        <v>50400</v>
      </c>
      <c r="AG17" s="142" t="s">
        <v>49</v>
      </c>
      <c r="AH17" s="142" t="s">
        <v>49</v>
      </c>
      <c r="AI17" s="162">
        <f t="shared" si="1"/>
        <v>195238.09523809524</v>
      </c>
      <c r="AJ17" s="162">
        <f t="shared" si="2"/>
        <v>9761.9047619047615</v>
      </c>
      <c r="AK17" s="160">
        <f t="shared" si="3"/>
        <v>17634.920634920636</v>
      </c>
      <c r="AL17" s="160">
        <f t="shared" si="4"/>
        <v>881.74603174603169</v>
      </c>
      <c r="AM17" s="169" t="s">
        <v>359</v>
      </c>
      <c r="AN17" s="173" t="s">
        <v>345</v>
      </c>
      <c r="AO17" s="173" t="s">
        <v>322</v>
      </c>
      <c r="AP17" s="173" t="s">
        <v>327</v>
      </c>
      <c r="AQ17" s="173" t="s">
        <v>322</v>
      </c>
      <c r="AR17" s="173" t="s">
        <v>323</v>
      </c>
      <c r="AS17" s="170" t="s">
        <v>318</v>
      </c>
      <c r="AT17" s="170" t="s">
        <v>318</v>
      </c>
    </row>
    <row r="18" spans="1:46" ht="155">
      <c r="A18" s="135">
        <v>13</v>
      </c>
      <c r="B18" s="123" t="s">
        <v>97</v>
      </c>
      <c r="C18" s="123" t="s">
        <v>98</v>
      </c>
      <c r="D18" s="165" t="s">
        <v>268</v>
      </c>
      <c r="E18" s="116" t="s">
        <v>39</v>
      </c>
      <c r="F18" s="77" t="s">
        <v>52</v>
      </c>
      <c r="G18" s="112" t="s">
        <v>41</v>
      </c>
      <c r="H18" s="112" t="s">
        <v>71</v>
      </c>
      <c r="I18" s="112" t="s">
        <v>99</v>
      </c>
      <c r="J18" s="112" t="s">
        <v>65</v>
      </c>
      <c r="K18" s="120" t="s">
        <v>45</v>
      </c>
      <c r="L18" s="118" t="s">
        <v>100</v>
      </c>
      <c r="M18" s="138" t="s">
        <v>76</v>
      </c>
      <c r="N18" s="77" t="s">
        <v>24</v>
      </c>
      <c r="O18" s="136">
        <f>P18*1.23</f>
        <v>212790000</v>
      </c>
      <c r="P18" s="136">
        <v>173000000</v>
      </c>
      <c r="Q18" s="136">
        <v>144000000</v>
      </c>
      <c r="R18" s="154"/>
      <c r="S18" s="154">
        <f>11110000+10000000</f>
        <v>21110000</v>
      </c>
      <c r="T18" s="150"/>
      <c r="U18" s="130">
        <f>64981600/A1</f>
        <v>15180488.716535065</v>
      </c>
      <c r="V18" s="149" t="s">
        <v>101</v>
      </c>
      <c r="W18" s="41">
        <f>3703103/A1</f>
        <v>865089.70705041359</v>
      </c>
      <c r="X18" s="155">
        <v>45819</v>
      </c>
      <c r="Y18" s="155">
        <v>45819</v>
      </c>
      <c r="Z18" s="151">
        <v>0</v>
      </c>
      <c r="AA18" s="137" t="s">
        <v>49</v>
      </c>
      <c r="AB18" s="139" t="s">
        <v>49</v>
      </c>
      <c r="AC18" s="53">
        <v>130000</v>
      </c>
      <c r="AD18" s="161" t="s">
        <v>49</v>
      </c>
      <c r="AE18" s="54">
        <v>2424</v>
      </c>
      <c r="AF18" s="54">
        <v>95000</v>
      </c>
      <c r="AG18" s="142">
        <v>3.83</v>
      </c>
      <c r="AH18" s="142">
        <v>85</v>
      </c>
      <c r="AI18" s="162">
        <f t="shared" ref="AI18:AI25" si="5">O18/AE18</f>
        <v>87784.653465346535</v>
      </c>
      <c r="AJ18" s="162">
        <f t="shared" ref="AJ18:AJ25" si="6">O18/AF18</f>
        <v>2239.8947368421054</v>
      </c>
      <c r="AK18" s="160">
        <f t="shared" si="3"/>
        <v>8708.7458745874592</v>
      </c>
      <c r="AL18" s="160">
        <f t="shared" si="4"/>
        <v>222.21052631578948</v>
      </c>
      <c r="AM18" s="169" t="s">
        <v>359</v>
      </c>
      <c r="AN18" s="173" t="s">
        <v>344</v>
      </c>
      <c r="AO18" s="173" t="s">
        <v>322</v>
      </c>
      <c r="AP18" s="173" t="s">
        <v>327</v>
      </c>
      <c r="AQ18" s="173" t="s">
        <v>322</v>
      </c>
      <c r="AR18" s="173" t="s">
        <v>323</v>
      </c>
      <c r="AS18" s="170" t="s">
        <v>318</v>
      </c>
      <c r="AT18" s="170" t="s">
        <v>318</v>
      </c>
    </row>
    <row r="19" spans="1:46" ht="116">
      <c r="A19" s="135">
        <v>14</v>
      </c>
      <c r="B19" s="123" t="s">
        <v>102</v>
      </c>
      <c r="C19" s="123" t="s">
        <v>103</v>
      </c>
      <c r="D19" s="165" t="s">
        <v>269</v>
      </c>
      <c r="E19" s="116" t="s">
        <v>39</v>
      </c>
      <c r="F19" s="77" t="s">
        <v>40</v>
      </c>
      <c r="G19" s="112" t="s">
        <v>41</v>
      </c>
      <c r="H19" s="112" t="s">
        <v>71</v>
      </c>
      <c r="I19" s="112" t="s">
        <v>99</v>
      </c>
      <c r="J19" s="112" t="s">
        <v>65</v>
      </c>
      <c r="K19" s="120" t="s">
        <v>45</v>
      </c>
      <c r="L19" s="119" t="s">
        <v>104</v>
      </c>
      <c r="M19" s="138" t="s">
        <v>67</v>
      </c>
      <c r="N19" s="77" t="s">
        <v>24</v>
      </c>
      <c r="O19" s="136">
        <f>P19*1.23</f>
        <v>114820500</v>
      </c>
      <c r="P19" s="136">
        <v>93350000</v>
      </c>
      <c r="Q19" s="136">
        <v>77790000</v>
      </c>
      <c r="R19" s="154">
        <v>11110000</v>
      </c>
      <c r="S19" s="154">
        <v>50000000</v>
      </c>
      <c r="T19" s="150"/>
      <c r="U19" s="130">
        <f>128000000/A1</f>
        <v>29902350.137831148</v>
      </c>
      <c r="V19" s="149">
        <v>45272</v>
      </c>
      <c r="W19" s="41">
        <f>1280000/A1</f>
        <v>299023.50137831148</v>
      </c>
      <c r="X19" s="155">
        <v>45483</v>
      </c>
      <c r="Y19" s="155">
        <v>45483</v>
      </c>
      <c r="Z19" s="151">
        <v>0</v>
      </c>
      <c r="AA19" s="137" t="s">
        <v>49</v>
      </c>
      <c r="AB19" s="139" t="s">
        <v>49</v>
      </c>
      <c r="AC19" s="53" t="s">
        <v>49</v>
      </c>
      <c r="AD19" s="161" t="s">
        <v>49</v>
      </c>
      <c r="AE19" s="54">
        <v>30157</v>
      </c>
      <c r="AF19" s="54">
        <v>80000</v>
      </c>
      <c r="AG19" s="142" t="s">
        <v>49</v>
      </c>
      <c r="AH19" s="142" t="s">
        <v>49</v>
      </c>
      <c r="AI19" s="162">
        <f t="shared" si="5"/>
        <v>3807.4244785621913</v>
      </c>
      <c r="AJ19" s="162">
        <f t="shared" si="6"/>
        <v>1435.2562499999999</v>
      </c>
      <c r="AK19" s="160">
        <f t="shared" si="3"/>
        <v>2026.3951984613855</v>
      </c>
      <c r="AL19" s="160">
        <f t="shared" si="4"/>
        <v>763.875</v>
      </c>
      <c r="AM19" s="169" t="s">
        <v>359</v>
      </c>
      <c r="AN19" s="173" t="s">
        <v>343</v>
      </c>
      <c r="AO19" s="173" t="s">
        <v>322</v>
      </c>
      <c r="AP19" s="173" t="s">
        <v>327</v>
      </c>
      <c r="AQ19" s="173" t="s">
        <v>322</v>
      </c>
      <c r="AR19" s="173" t="s">
        <v>323</v>
      </c>
      <c r="AS19" s="170" t="s">
        <v>318</v>
      </c>
      <c r="AT19" s="170" t="s">
        <v>318</v>
      </c>
    </row>
    <row r="20" spans="1:46" s="128" customFormat="1" ht="116">
      <c r="A20" s="135">
        <v>15</v>
      </c>
      <c r="B20" s="123" t="s">
        <v>105</v>
      </c>
      <c r="C20" s="123" t="s">
        <v>106</v>
      </c>
      <c r="D20" s="165" t="s">
        <v>270</v>
      </c>
      <c r="E20" s="116" t="s">
        <v>39</v>
      </c>
      <c r="F20" s="77" t="s">
        <v>52</v>
      </c>
      <c r="G20" s="112" t="s">
        <v>41</v>
      </c>
      <c r="H20" s="112" t="s">
        <v>42</v>
      </c>
      <c r="I20" s="112" t="s">
        <v>64</v>
      </c>
      <c r="J20" s="112" t="s">
        <v>65</v>
      </c>
      <c r="K20" s="120" t="s">
        <v>45</v>
      </c>
      <c r="L20" s="119" t="s">
        <v>86</v>
      </c>
      <c r="M20" s="138" t="s">
        <v>87</v>
      </c>
      <c r="N20" s="77" t="s">
        <v>24</v>
      </c>
      <c r="O20" s="136">
        <v>258200000</v>
      </c>
      <c r="P20" s="136">
        <f>O20/1.23</f>
        <v>209918699.18699187</v>
      </c>
      <c r="Q20" s="136">
        <v>209900000</v>
      </c>
      <c r="R20" s="154">
        <v>20990000</v>
      </c>
      <c r="S20" s="154">
        <v>66660000</v>
      </c>
      <c r="T20" s="150"/>
      <c r="U20" s="130">
        <f>548681601/A1</f>
        <v>128178666.77568565</v>
      </c>
      <c r="V20" s="149" t="s">
        <v>289</v>
      </c>
      <c r="W20" s="41">
        <f>352269322/A1</f>
        <v>82294379.759846762</v>
      </c>
      <c r="X20" s="155">
        <v>45159</v>
      </c>
      <c r="Y20" s="155">
        <v>45967</v>
      </c>
      <c r="Z20" s="151">
        <f>6170877.51/A1</f>
        <v>1441591.7184506846</v>
      </c>
      <c r="AA20" s="137" t="s">
        <v>49</v>
      </c>
      <c r="AB20" s="139" t="s">
        <v>49</v>
      </c>
      <c r="AC20" s="139" t="s">
        <v>49</v>
      </c>
      <c r="AD20" s="161" t="s">
        <v>49</v>
      </c>
      <c r="AE20" s="140">
        <v>66391</v>
      </c>
      <c r="AF20" s="140">
        <v>195311</v>
      </c>
      <c r="AG20" s="144">
        <v>4</v>
      </c>
      <c r="AH20" s="144">
        <v>30</v>
      </c>
      <c r="AI20" s="162">
        <f t="shared" si="5"/>
        <v>3889.0813513879893</v>
      </c>
      <c r="AJ20" s="162">
        <f t="shared" si="6"/>
        <v>1321.9941529150944</v>
      </c>
      <c r="AK20" s="160">
        <f t="shared" si="3"/>
        <v>1320.2090644816315</v>
      </c>
      <c r="AL20" s="160">
        <f t="shared" si="4"/>
        <v>448.77144656470961</v>
      </c>
      <c r="AM20" s="169" t="s">
        <v>359</v>
      </c>
      <c r="AN20" s="173" t="s">
        <v>347</v>
      </c>
      <c r="AO20" s="173" t="s">
        <v>322</v>
      </c>
      <c r="AP20" s="173" t="s">
        <v>327</v>
      </c>
      <c r="AQ20" s="173" t="s">
        <v>322</v>
      </c>
      <c r="AR20" s="173" t="s">
        <v>323</v>
      </c>
      <c r="AS20" s="170" t="s">
        <v>318</v>
      </c>
      <c r="AT20" s="170" t="s">
        <v>318</v>
      </c>
    </row>
    <row r="21" spans="1:46" ht="124">
      <c r="A21" s="135">
        <v>16</v>
      </c>
      <c r="B21" s="123" t="s">
        <v>107</v>
      </c>
      <c r="C21" s="123"/>
      <c r="D21" s="165" t="s">
        <v>271</v>
      </c>
      <c r="E21" s="116" t="s">
        <v>39</v>
      </c>
      <c r="F21" s="77" t="s">
        <v>52</v>
      </c>
      <c r="G21" s="112" t="s">
        <v>41</v>
      </c>
      <c r="H21" s="112" t="s">
        <v>71</v>
      </c>
      <c r="I21" s="112" t="s">
        <v>64</v>
      </c>
      <c r="J21" s="112" t="s">
        <v>65</v>
      </c>
      <c r="K21" s="120" t="s">
        <v>45</v>
      </c>
      <c r="L21" s="118" t="s">
        <v>108</v>
      </c>
      <c r="M21" s="138" t="s">
        <v>76</v>
      </c>
      <c r="N21" s="77" t="s">
        <v>24</v>
      </c>
      <c r="O21" s="136">
        <f>P21*1.23</f>
        <v>273330600</v>
      </c>
      <c r="P21" s="136">
        <v>222220000</v>
      </c>
      <c r="Q21" s="136">
        <v>222220000</v>
      </c>
      <c r="R21" s="154">
        <v>22200000</v>
      </c>
      <c r="S21" s="154"/>
      <c r="T21" s="150"/>
      <c r="U21" s="130">
        <f>38569860/A1</f>
        <v>9010386.3944306877</v>
      </c>
      <c r="V21" s="149" t="s">
        <v>109</v>
      </c>
      <c r="W21" s="41">
        <f>11924601/A1</f>
        <v>2785731.2059057145</v>
      </c>
      <c r="X21" s="155">
        <v>45862</v>
      </c>
      <c r="Y21" s="155">
        <v>46020</v>
      </c>
      <c r="Z21" s="151">
        <v>0</v>
      </c>
      <c r="AA21" s="137" t="s">
        <v>49</v>
      </c>
      <c r="AB21" s="139">
        <v>12505</v>
      </c>
      <c r="AC21" s="53">
        <v>555556</v>
      </c>
      <c r="AD21" s="161">
        <f>AB21/AC21</f>
        <v>2.2508981992814404E-2</v>
      </c>
      <c r="AE21" s="54">
        <v>52615</v>
      </c>
      <c r="AF21" s="54">
        <v>600000</v>
      </c>
      <c r="AG21" s="142" t="s">
        <v>49</v>
      </c>
      <c r="AH21" s="142" t="s">
        <v>49</v>
      </c>
      <c r="AI21" s="162">
        <f t="shared" si="5"/>
        <v>5194.917799106719</v>
      </c>
      <c r="AJ21" s="162">
        <f t="shared" si="6"/>
        <v>455.55099999999999</v>
      </c>
      <c r="AK21" s="160">
        <f t="shared" si="3"/>
        <v>421.93290886629291</v>
      </c>
      <c r="AL21" s="160">
        <f t="shared" si="4"/>
        <v>37</v>
      </c>
      <c r="AM21" s="169" t="s">
        <v>359</v>
      </c>
      <c r="AN21" s="173" t="s">
        <v>346</v>
      </c>
      <c r="AO21" s="173" t="s">
        <v>322</v>
      </c>
      <c r="AP21" s="173" t="s">
        <v>327</v>
      </c>
      <c r="AQ21" s="173" t="s">
        <v>322</v>
      </c>
      <c r="AR21" s="173" t="s">
        <v>323</v>
      </c>
      <c r="AS21" s="170" t="s">
        <v>318</v>
      </c>
      <c r="AT21" s="170" t="s">
        <v>318</v>
      </c>
    </row>
    <row r="22" spans="1:46" ht="201.5">
      <c r="A22" s="135">
        <v>17</v>
      </c>
      <c r="B22" s="123" t="s">
        <v>110</v>
      </c>
      <c r="C22" s="123" t="s">
        <v>111</v>
      </c>
      <c r="D22" s="165" t="s">
        <v>272</v>
      </c>
      <c r="E22" s="77" t="s">
        <v>39</v>
      </c>
      <c r="F22" s="77" t="s">
        <v>52</v>
      </c>
      <c r="G22" s="112" t="s">
        <v>41</v>
      </c>
      <c r="H22" s="112" t="s">
        <v>71</v>
      </c>
      <c r="I22" s="112" t="s">
        <v>64</v>
      </c>
      <c r="J22" s="112" t="s">
        <v>65</v>
      </c>
      <c r="K22" s="120" t="s">
        <v>45</v>
      </c>
      <c r="L22" s="118" t="s">
        <v>112</v>
      </c>
      <c r="M22" s="138" t="s">
        <v>87</v>
      </c>
      <c r="N22" s="77" t="s">
        <v>24</v>
      </c>
      <c r="O22" s="136">
        <f>P22*1.23</f>
        <v>409590000</v>
      </c>
      <c r="P22" s="136">
        <v>333000000</v>
      </c>
      <c r="Q22" s="136">
        <v>333000000</v>
      </c>
      <c r="R22" s="154">
        <v>44440000</v>
      </c>
      <c r="S22" s="154">
        <v>260000000</v>
      </c>
      <c r="T22" s="150"/>
      <c r="U22" s="130">
        <f>362336831/A1</f>
        <v>84646271.78432931</v>
      </c>
      <c r="V22" s="148" t="s">
        <v>113</v>
      </c>
      <c r="W22" s="41">
        <f>16562400/A1</f>
        <v>3869177.2181469891</v>
      </c>
      <c r="X22" s="155">
        <v>46007</v>
      </c>
      <c r="Y22" s="155">
        <v>46020</v>
      </c>
      <c r="Z22" s="151">
        <v>0</v>
      </c>
      <c r="AA22" s="137" t="s">
        <v>49</v>
      </c>
      <c r="AB22" s="139">
        <v>23326</v>
      </c>
      <c r="AC22" s="53">
        <v>502238</v>
      </c>
      <c r="AD22" s="161">
        <f>AB22/AC22</f>
        <v>4.6444116136174482E-2</v>
      </c>
      <c r="AE22" s="54">
        <v>31852</v>
      </c>
      <c r="AF22" s="54">
        <v>690710</v>
      </c>
      <c r="AG22" s="142">
        <v>6</v>
      </c>
      <c r="AH22" s="142">
        <v>15</v>
      </c>
      <c r="AI22" s="162">
        <f t="shared" si="5"/>
        <v>12859.161120180835</v>
      </c>
      <c r="AJ22" s="162">
        <f t="shared" si="6"/>
        <v>592.99850878081975</v>
      </c>
      <c r="AK22" s="160">
        <f t="shared" si="3"/>
        <v>9557.9555443928166</v>
      </c>
      <c r="AL22" s="160">
        <f t="shared" si="4"/>
        <v>440.7638516888419</v>
      </c>
      <c r="AM22" s="169" t="s">
        <v>359</v>
      </c>
      <c r="AN22" s="173" t="s">
        <v>340</v>
      </c>
      <c r="AO22" s="173" t="s">
        <v>322</v>
      </c>
      <c r="AP22" s="173" t="s">
        <v>327</v>
      </c>
      <c r="AQ22" s="173" t="s">
        <v>322</v>
      </c>
      <c r="AR22" s="173" t="s">
        <v>323</v>
      </c>
      <c r="AS22" s="170" t="s">
        <v>318</v>
      </c>
      <c r="AT22" s="170" t="s">
        <v>318</v>
      </c>
    </row>
    <row r="23" spans="1:46" ht="170.5">
      <c r="A23" s="135">
        <v>18</v>
      </c>
      <c r="B23" s="123" t="s">
        <v>114</v>
      </c>
      <c r="C23" s="123" t="s">
        <v>115</v>
      </c>
      <c r="D23" s="165" t="s">
        <v>273</v>
      </c>
      <c r="E23" s="77" t="s">
        <v>116</v>
      </c>
      <c r="F23" s="77" t="s">
        <v>52</v>
      </c>
      <c r="G23" s="138" t="s">
        <v>41</v>
      </c>
      <c r="H23" s="138" t="s">
        <v>71</v>
      </c>
      <c r="I23" s="138" t="s">
        <v>64</v>
      </c>
      <c r="J23" s="138" t="s">
        <v>65</v>
      </c>
      <c r="K23" s="120" t="s">
        <v>45</v>
      </c>
      <c r="L23" s="118" t="s">
        <v>117</v>
      </c>
      <c r="M23" s="138" t="s">
        <v>76</v>
      </c>
      <c r="N23" s="77" t="s">
        <v>24</v>
      </c>
      <c r="O23" s="136">
        <f>P23*1.23</f>
        <v>780952381.04999995</v>
      </c>
      <c r="P23" s="136">
        <v>634920635</v>
      </c>
      <c r="Q23" s="136">
        <v>444444444</v>
      </c>
      <c r="R23" s="154">
        <v>22222222</v>
      </c>
      <c r="S23" s="154">
        <v>49000000</v>
      </c>
      <c r="T23" s="150"/>
      <c r="U23" s="130">
        <f>130856873/A1</f>
        <v>30569750.268653929</v>
      </c>
      <c r="V23" s="148" t="s">
        <v>118</v>
      </c>
      <c r="W23" s="41">
        <f>11245011/A1</f>
        <v>2626970.7517637718</v>
      </c>
      <c r="X23" s="155">
        <v>45673</v>
      </c>
      <c r="Y23" s="155">
        <v>45679</v>
      </c>
      <c r="Z23" s="151">
        <v>0</v>
      </c>
      <c r="AA23" s="166" t="s">
        <v>301</v>
      </c>
      <c r="AB23" s="139">
        <v>100581</v>
      </c>
      <c r="AC23" s="53">
        <v>1358789</v>
      </c>
      <c r="AD23" s="161">
        <f>AB23/AC23</f>
        <v>7.4022530356074423E-2</v>
      </c>
      <c r="AE23" s="54">
        <v>32525</v>
      </c>
      <c r="AF23" s="54">
        <v>387062</v>
      </c>
      <c r="AG23" s="142">
        <v>29.46</v>
      </c>
      <c r="AH23" s="142">
        <v>898</v>
      </c>
      <c r="AI23" s="162">
        <f t="shared" si="5"/>
        <v>24010.834159877017</v>
      </c>
      <c r="AJ23" s="162">
        <f t="shared" si="6"/>
        <v>2017.6415691801312</v>
      </c>
      <c r="AK23" s="160">
        <f t="shared" si="3"/>
        <v>2189.7685472713297</v>
      </c>
      <c r="AL23" s="160">
        <f t="shared" si="4"/>
        <v>184.0072701531021</v>
      </c>
      <c r="AM23" s="169" t="s">
        <v>359</v>
      </c>
      <c r="AN23" s="173" t="s">
        <v>339</v>
      </c>
      <c r="AO23" s="173" t="s">
        <v>322</v>
      </c>
      <c r="AP23" s="173" t="s">
        <v>327</v>
      </c>
      <c r="AQ23" s="173" t="s">
        <v>322</v>
      </c>
      <c r="AR23" s="173" t="s">
        <v>323</v>
      </c>
      <c r="AS23" s="170" t="s">
        <v>318</v>
      </c>
      <c r="AT23" s="170" t="s">
        <v>318</v>
      </c>
    </row>
    <row r="24" spans="1:46" ht="170.5">
      <c r="A24" s="135">
        <v>19</v>
      </c>
      <c r="B24" s="123" t="s">
        <v>119</v>
      </c>
      <c r="C24" s="123" t="s">
        <v>120</v>
      </c>
      <c r="D24" s="165" t="s">
        <v>274</v>
      </c>
      <c r="E24" s="77" t="s">
        <v>116</v>
      </c>
      <c r="F24" s="77" t="s">
        <v>52</v>
      </c>
      <c r="G24" s="112" t="s">
        <v>41</v>
      </c>
      <c r="H24" s="112" t="s">
        <v>42</v>
      </c>
      <c r="I24" s="112" t="s">
        <v>43</v>
      </c>
      <c r="J24" s="112" t="s">
        <v>44</v>
      </c>
      <c r="K24" s="120" t="s">
        <v>45</v>
      </c>
      <c r="L24" s="119" t="s">
        <v>121</v>
      </c>
      <c r="M24" s="138" t="s">
        <v>122</v>
      </c>
      <c r="N24" s="77" t="s">
        <v>24</v>
      </c>
      <c r="O24" s="136">
        <f>P24*1.23</f>
        <v>546612000</v>
      </c>
      <c r="P24" s="136">
        <v>444400000</v>
      </c>
      <c r="Q24" s="136">
        <v>133300000</v>
      </c>
      <c r="R24" s="154">
        <f>22222222+111111111</f>
        <v>133333333</v>
      </c>
      <c r="S24" s="154"/>
      <c r="T24" s="150"/>
      <c r="U24" s="130">
        <f>318964034.71/A1</f>
        <v>74513861.306826144</v>
      </c>
      <c r="V24" s="148" t="s">
        <v>288</v>
      </c>
      <c r="W24" s="41">
        <f>318964034.71/A1</f>
        <v>74513861.306826144</v>
      </c>
      <c r="X24" s="158" t="s">
        <v>288</v>
      </c>
      <c r="Y24" s="158" t="s">
        <v>299</v>
      </c>
      <c r="Z24" s="151">
        <f>37979.7/A1</f>
        <v>8872.5178713264486</v>
      </c>
      <c r="AA24" s="166" t="s">
        <v>301</v>
      </c>
      <c r="AB24" s="139">
        <v>401511</v>
      </c>
      <c r="AC24" s="53">
        <v>625000</v>
      </c>
      <c r="AD24" s="161">
        <f>AB24/AC24</f>
        <v>0.64241760000000003</v>
      </c>
      <c r="AE24" s="54">
        <v>42353</v>
      </c>
      <c r="AF24" s="54">
        <v>65000</v>
      </c>
      <c r="AG24" s="142">
        <v>302.77999999999997</v>
      </c>
      <c r="AH24" s="142">
        <v>450</v>
      </c>
      <c r="AI24" s="162">
        <f t="shared" si="5"/>
        <v>12906.098741529526</v>
      </c>
      <c r="AJ24" s="162">
        <f t="shared" si="6"/>
        <v>8409.415384615384</v>
      </c>
      <c r="AK24" s="160">
        <f t="shared" si="3"/>
        <v>3148.1437678558782</v>
      </c>
      <c r="AL24" s="160">
        <f t="shared" si="4"/>
        <v>2051.2820461538463</v>
      </c>
      <c r="AM24" s="169" t="s">
        <v>359</v>
      </c>
      <c r="AN24" s="173" t="s">
        <v>341</v>
      </c>
      <c r="AO24" s="173" t="s">
        <v>322</v>
      </c>
      <c r="AP24" s="173" t="s">
        <v>327</v>
      </c>
      <c r="AQ24" s="173" t="s">
        <v>322</v>
      </c>
      <c r="AR24" s="173" t="s">
        <v>323</v>
      </c>
      <c r="AS24" s="170" t="s">
        <v>318</v>
      </c>
      <c r="AT24" s="170" t="s">
        <v>318</v>
      </c>
    </row>
    <row r="25" spans="1:46" ht="139.5">
      <c r="A25" s="135">
        <v>20</v>
      </c>
      <c r="B25" s="123" t="s">
        <v>123</v>
      </c>
      <c r="C25" s="123"/>
      <c r="D25" s="165" t="s">
        <v>275</v>
      </c>
      <c r="E25" s="77" t="s">
        <v>39</v>
      </c>
      <c r="F25" s="77" t="s">
        <v>52</v>
      </c>
      <c r="G25" s="112" t="s">
        <v>41</v>
      </c>
      <c r="H25" s="112" t="s">
        <v>71</v>
      </c>
      <c r="I25" s="112" t="s">
        <v>53</v>
      </c>
      <c r="J25" s="112" t="s">
        <v>65</v>
      </c>
      <c r="K25" s="120" t="s">
        <v>45</v>
      </c>
      <c r="L25" s="119" t="s">
        <v>124</v>
      </c>
      <c r="M25" s="138" t="s">
        <v>125</v>
      </c>
      <c r="N25" s="77" t="s">
        <v>24</v>
      </c>
      <c r="O25" s="136">
        <f>P25*1.23</f>
        <v>546612000</v>
      </c>
      <c r="P25" s="136">
        <v>444400000</v>
      </c>
      <c r="Q25" s="136">
        <v>444400000</v>
      </c>
      <c r="R25" s="154"/>
      <c r="S25" s="154">
        <v>44400000</v>
      </c>
      <c r="T25" s="150"/>
      <c r="U25" s="130">
        <f>0/A1</f>
        <v>0</v>
      </c>
      <c r="V25" s="148" t="s">
        <v>49</v>
      </c>
      <c r="W25" s="41">
        <f>0/A1</f>
        <v>0</v>
      </c>
      <c r="X25" s="158" t="s">
        <v>49</v>
      </c>
      <c r="Y25" s="158" t="s">
        <v>49</v>
      </c>
      <c r="Z25" s="151">
        <v>0</v>
      </c>
      <c r="AA25" s="137" t="s">
        <v>49</v>
      </c>
      <c r="AB25" s="139" t="s">
        <v>49</v>
      </c>
      <c r="AC25" s="53" t="s">
        <v>49</v>
      </c>
      <c r="AD25" s="161" t="s">
        <v>49</v>
      </c>
      <c r="AE25" s="54">
        <v>0</v>
      </c>
      <c r="AF25" s="54">
        <v>627000</v>
      </c>
      <c r="AG25" s="142" t="s">
        <v>49</v>
      </c>
      <c r="AH25" s="142" t="s">
        <v>49</v>
      </c>
      <c r="AI25" s="162" t="e">
        <f t="shared" si="5"/>
        <v>#DIV/0!</v>
      </c>
      <c r="AJ25" s="162">
        <f t="shared" si="6"/>
        <v>871.78947368421052</v>
      </c>
      <c r="AK25" s="160" t="e">
        <f t="shared" si="3"/>
        <v>#DIV/0!</v>
      </c>
      <c r="AL25" s="160">
        <f t="shared" si="4"/>
        <v>70.813397129186598</v>
      </c>
      <c r="AM25" s="169" t="s">
        <v>359</v>
      </c>
      <c r="AN25" s="173" t="s">
        <v>338</v>
      </c>
      <c r="AO25" s="173" t="s">
        <v>322</v>
      </c>
      <c r="AP25" s="173" t="s">
        <v>327</v>
      </c>
      <c r="AQ25" s="173" t="s">
        <v>322</v>
      </c>
      <c r="AR25" s="173" t="s">
        <v>323</v>
      </c>
      <c r="AS25" s="170" t="s">
        <v>318</v>
      </c>
      <c r="AT25" s="173" t="s">
        <v>321</v>
      </c>
    </row>
    <row r="26" spans="1:46" ht="116">
      <c r="A26" s="135">
        <v>21</v>
      </c>
      <c r="B26" s="123" t="s">
        <v>126</v>
      </c>
      <c r="C26" s="123"/>
      <c r="D26" s="165" t="s">
        <v>276</v>
      </c>
      <c r="E26" s="77" t="s">
        <v>39</v>
      </c>
      <c r="F26" s="77" t="s">
        <v>52</v>
      </c>
      <c r="G26" s="112" t="s">
        <v>41</v>
      </c>
      <c r="H26" s="112" t="s">
        <v>42</v>
      </c>
      <c r="I26" s="112" t="s">
        <v>43</v>
      </c>
      <c r="J26" s="112" t="s">
        <v>44</v>
      </c>
      <c r="K26" s="120" t="s">
        <v>45</v>
      </c>
      <c r="L26" s="119" t="s">
        <v>127</v>
      </c>
      <c r="M26" s="138" t="s">
        <v>87</v>
      </c>
      <c r="N26" s="77" t="s">
        <v>24</v>
      </c>
      <c r="O26" s="136">
        <v>200000000</v>
      </c>
      <c r="P26" s="136">
        <f>O26/1.23</f>
        <v>162601626.01626018</v>
      </c>
      <c r="Q26" s="136">
        <v>88890000</v>
      </c>
      <c r="R26" s="154"/>
      <c r="S26" s="154">
        <v>8880000</v>
      </c>
      <c r="T26" s="150"/>
      <c r="U26" s="130">
        <f>37700410/A1</f>
        <v>8807272.3449983653</v>
      </c>
      <c r="V26" s="148" t="s">
        <v>287</v>
      </c>
      <c r="W26" s="41">
        <f>37700410/A1</f>
        <v>8807272.3449983653</v>
      </c>
      <c r="X26" s="158" t="s">
        <v>287</v>
      </c>
      <c r="Y26" s="158" t="s">
        <v>287</v>
      </c>
      <c r="Z26" s="151">
        <f>437000/A1</f>
        <v>102088.49226743916</v>
      </c>
      <c r="AA26" s="137" t="s">
        <v>49</v>
      </c>
      <c r="AB26" s="139">
        <v>10260</v>
      </c>
      <c r="AC26" s="53">
        <v>478000</v>
      </c>
      <c r="AD26" s="161">
        <f>AB26/AC26</f>
        <v>2.1464435146443514E-2</v>
      </c>
      <c r="AE26" s="54">
        <v>2811</v>
      </c>
      <c r="AF26" s="54">
        <v>13100</v>
      </c>
      <c r="AG26" s="142">
        <v>4.0999999999999996</v>
      </c>
      <c r="AH26" s="142">
        <v>19</v>
      </c>
      <c r="AI26" s="162">
        <f t="shared" si="1"/>
        <v>71149.057274991108</v>
      </c>
      <c r="AJ26" s="162">
        <f t="shared" si="2"/>
        <v>15267.175572519083</v>
      </c>
      <c r="AK26" s="160">
        <f t="shared" si="3"/>
        <v>3159.018143009605</v>
      </c>
      <c r="AL26" s="160">
        <f t="shared" si="4"/>
        <v>677.86259541984737</v>
      </c>
      <c r="AM26" s="169" t="s">
        <v>359</v>
      </c>
      <c r="AN26" s="173" t="s">
        <v>342</v>
      </c>
      <c r="AO26" s="173" t="s">
        <v>322</v>
      </c>
      <c r="AP26" s="173" t="s">
        <v>327</v>
      </c>
      <c r="AQ26" s="173" t="s">
        <v>322</v>
      </c>
      <c r="AR26" s="173" t="s">
        <v>323</v>
      </c>
      <c r="AS26" s="170" t="s">
        <v>318</v>
      </c>
      <c r="AT26" s="173" t="s">
        <v>321</v>
      </c>
    </row>
    <row r="27" spans="1:46" ht="116">
      <c r="A27" s="135">
        <v>22</v>
      </c>
      <c r="B27" s="123" t="s">
        <v>128</v>
      </c>
      <c r="C27" s="123"/>
      <c r="D27" s="165" t="s">
        <v>270</v>
      </c>
      <c r="E27" s="77" t="s">
        <v>39</v>
      </c>
      <c r="F27" s="123" t="s">
        <v>52</v>
      </c>
      <c r="G27" s="112" t="s">
        <v>41</v>
      </c>
      <c r="H27" s="112" t="s">
        <v>42</v>
      </c>
      <c r="I27" s="112" t="s">
        <v>64</v>
      </c>
      <c r="J27" s="112" t="s">
        <v>65</v>
      </c>
      <c r="K27" s="120" t="s">
        <v>45</v>
      </c>
      <c r="L27" s="119" t="s">
        <v>86</v>
      </c>
      <c r="M27" s="138" t="s">
        <v>87</v>
      </c>
      <c r="N27" s="77" t="s">
        <v>24</v>
      </c>
      <c r="O27" s="136">
        <v>592770000</v>
      </c>
      <c r="P27" s="136">
        <v>481930000</v>
      </c>
      <c r="Q27" s="136">
        <v>481930000</v>
      </c>
      <c r="R27" s="154"/>
      <c r="S27" s="154">
        <v>24100000</v>
      </c>
      <c r="T27" s="150"/>
      <c r="U27" s="130">
        <f>0/A1</f>
        <v>0</v>
      </c>
      <c r="V27" s="148" t="s">
        <v>49</v>
      </c>
      <c r="W27" s="41">
        <f>0/A1</f>
        <v>0</v>
      </c>
      <c r="X27" s="158" t="s">
        <v>49</v>
      </c>
      <c r="Y27" s="158" t="s">
        <v>49</v>
      </c>
      <c r="Z27" s="151">
        <v>0</v>
      </c>
      <c r="AA27" s="137" t="s">
        <v>49</v>
      </c>
      <c r="AB27" s="139" t="s">
        <v>49</v>
      </c>
      <c r="AC27" s="53" t="s">
        <v>49</v>
      </c>
      <c r="AD27" s="161" t="s">
        <v>49</v>
      </c>
      <c r="AE27" s="54">
        <v>0</v>
      </c>
      <c r="AF27" s="54">
        <v>484689</v>
      </c>
      <c r="AG27" s="142">
        <v>0</v>
      </c>
      <c r="AH27" s="142">
        <v>75.2</v>
      </c>
      <c r="AI27" s="162" t="e">
        <f t="shared" si="1"/>
        <v>#DIV/0!</v>
      </c>
      <c r="AJ27" s="162">
        <f t="shared" si="2"/>
        <v>1222.9904124087818</v>
      </c>
      <c r="AK27" s="160" t="e">
        <f t="shared" si="3"/>
        <v>#DIV/0!</v>
      </c>
      <c r="AL27" s="160">
        <f t="shared" si="4"/>
        <v>49.722605629589282</v>
      </c>
      <c r="AM27" s="169" t="s">
        <v>359</v>
      </c>
      <c r="AN27" s="173" t="s">
        <v>336</v>
      </c>
      <c r="AO27" s="173" t="s">
        <v>322</v>
      </c>
      <c r="AP27" s="173" t="s">
        <v>327</v>
      </c>
      <c r="AQ27" s="173" t="s">
        <v>322</v>
      </c>
      <c r="AR27" s="173" t="s">
        <v>323</v>
      </c>
      <c r="AS27" s="170" t="s">
        <v>318</v>
      </c>
      <c r="AT27" s="173" t="s">
        <v>321</v>
      </c>
    </row>
    <row r="28" spans="1:46" ht="116">
      <c r="A28" s="135">
        <v>23</v>
      </c>
      <c r="B28" s="123" t="s">
        <v>129</v>
      </c>
      <c r="C28" s="123"/>
      <c r="D28" s="165" t="s">
        <v>279</v>
      </c>
      <c r="E28" s="77" t="s">
        <v>39</v>
      </c>
      <c r="F28" s="77" t="s">
        <v>52</v>
      </c>
      <c r="G28" s="112" t="s">
        <v>41</v>
      </c>
      <c r="H28" s="112" t="s">
        <v>71</v>
      </c>
      <c r="I28" s="112" t="s">
        <v>64</v>
      </c>
      <c r="J28" s="112" t="s">
        <v>130</v>
      </c>
      <c r="K28" s="121" t="s">
        <v>45</v>
      </c>
      <c r="L28" s="119" t="s">
        <v>131</v>
      </c>
      <c r="M28" s="138" t="s">
        <v>132</v>
      </c>
      <c r="N28" s="77" t="s">
        <v>24</v>
      </c>
      <c r="O28" s="136">
        <f>P28*1.23</f>
        <v>1230000000</v>
      </c>
      <c r="P28" s="136">
        <v>1000000000</v>
      </c>
      <c r="Q28" s="136">
        <v>1000000000</v>
      </c>
      <c r="R28" s="154"/>
      <c r="S28" s="154">
        <v>120500000</v>
      </c>
      <c r="T28" s="150"/>
      <c r="U28" s="130">
        <f>4144384439/A1</f>
        <v>968178395.31841338</v>
      </c>
      <c r="V28" s="147" t="s">
        <v>133</v>
      </c>
      <c r="W28" s="41">
        <f>0/A1</f>
        <v>0</v>
      </c>
      <c r="X28" s="158" t="s">
        <v>49</v>
      </c>
      <c r="Y28" s="158" t="s">
        <v>49</v>
      </c>
      <c r="Z28" s="151">
        <v>0</v>
      </c>
      <c r="AA28" s="137" t="s">
        <v>49</v>
      </c>
      <c r="AB28" s="139">
        <v>0</v>
      </c>
      <c r="AC28" s="53">
        <v>1642500</v>
      </c>
      <c r="AD28" s="161">
        <f>AB28/AC28</f>
        <v>0</v>
      </c>
      <c r="AE28" s="54">
        <v>1241730</v>
      </c>
      <c r="AF28" s="54">
        <v>1125113</v>
      </c>
      <c r="AG28" s="142" t="s">
        <v>49</v>
      </c>
      <c r="AH28" s="142" t="s">
        <v>49</v>
      </c>
      <c r="AI28" s="162">
        <f t="shared" si="1"/>
        <v>990.55350196902714</v>
      </c>
      <c r="AJ28" s="162">
        <f t="shared" si="2"/>
        <v>1093.2235251037007</v>
      </c>
      <c r="AK28" s="160">
        <f t="shared" si="3"/>
        <v>97.042030070949394</v>
      </c>
      <c r="AL28" s="160">
        <f t="shared" si="4"/>
        <v>107.10035347560645</v>
      </c>
      <c r="AM28" s="169" t="s">
        <v>359</v>
      </c>
      <c r="AN28" s="173" t="s">
        <v>337</v>
      </c>
      <c r="AO28" s="173" t="s">
        <v>322</v>
      </c>
      <c r="AP28" s="173" t="s">
        <v>327</v>
      </c>
      <c r="AQ28" s="173" t="s">
        <v>322</v>
      </c>
      <c r="AR28" s="173" t="s">
        <v>323</v>
      </c>
      <c r="AS28" s="170" t="s">
        <v>318</v>
      </c>
      <c r="AT28" s="173" t="s">
        <v>321</v>
      </c>
    </row>
    <row r="29" spans="1:46" ht="124">
      <c r="A29" s="135">
        <v>24</v>
      </c>
      <c r="B29" s="123" t="s">
        <v>134</v>
      </c>
      <c r="C29" s="123"/>
      <c r="D29" s="165" t="s">
        <v>280</v>
      </c>
      <c r="E29" s="77" t="s">
        <v>39</v>
      </c>
      <c r="F29" s="77" t="s">
        <v>52</v>
      </c>
      <c r="G29" s="112" t="s">
        <v>41</v>
      </c>
      <c r="H29" s="112" t="s">
        <v>71</v>
      </c>
      <c r="I29" s="112" t="s">
        <v>53</v>
      </c>
      <c r="J29" s="112" t="s">
        <v>44</v>
      </c>
      <c r="K29" s="121" t="s">
        <v>45</v>
      </c>
      <c r="L29" s="119" t="s">
        <v>135</v>
      </c>
      <c r="M29" s="138" t="s">
        <v>55</v>
      </c>
      <c r="N29" s="77" t="s">
        <v>24</v>
      </c>
      <c r="O29" s="136">
        <f>P29*1.23</f>
        <v>592773900</v>
      </c>
      <c r="P29" s="136">
        <v>481930000</v>
      </c>
      <c r="Q29" s="136">
        <v>481930000</v>
      </c>
      <c r="R29" s="154"/>
      <c r="S29" s="154">
        <v>120500000</v>
      </c>
      <c r="T29" s="150"/>
      <c r="U29" s="130">
        <f>0/A1</f>
        <v>0</v>
      </c>
      <c r="V29" s="150" t="s">
        <v>49</v>
      </c>
      <c r="W29" s="41">
        <f>0/A1</f>
        <v>0</v>
      </c>
      <c r="X29" s="155" t="s">
        <v>49</v>
      </c>
      <c r="Y29" s="159" t="s">
        <v>49</v>
      </c>
      <c r="Z29" s="151">
        <v>0</v>
      </c>
      <c r="AA29" s="137" t="s">
        <v>49</v>
      </c>
      <c r="AB29" s="139" t="s">
        <v>49</v>
      </c>
      <c r="AC29" s="53" t="s">
        <v>49</v>
      </c>
      <c r="AD29" s="161" t="s">
        <v>49</v>
      </c>
      <c r="AE29" s="54">
        <v>0</v>
      </c>
      <c r="AF29" s="54">
        <v>3190</v>
      </c>
      <c r="AG29" s="142" t="s">
        <v>49</v>
      </c>
      <c r="AH29" s="142" t="s">
        <v>49</v>
      </c>
      <c r="AI29" s="162" t="e">
        <f t="shared" si="1"/>
        <v>#DIV/0!</v>
      </c>
      <c r="AJ29" s="162">
        <f t="shared" si="2"/>
        <v>185822.53918495297</v>
      </c>
      <c r="AK29" s="160" t="e">
        <f t="shared" si="3"/>
        <v>#DIV/0!</v>
      </c>
      <c r="AL29" s="160">
        <f t="shared" si="4"/>
        <v>37774.294670846393</v>
      </c>
      <c r="AM29" s="169" t="s">
        <v>359</v>
      </c>
      <c r="AN29" s="173" t="s">
        <v>333</v>
      </c>
      <c r="AO29" s="173" t="s">
        <v>322</v>
      </c>
      <c r="AP29" s="173" t="s">
        <v>327</v>
      </c>
      <c r="AQ29" s="173" t="s">
        <v>322</v>
      </c>
      <c r="AR29" s="173" t="s">
        <v>323</v>
      </c>
      <c r="AS29" s="170" t="s">
        <v>318</v>
      </c>
      <c r="AT29" s="173" t="s">
        <v>321</v>
      </c>
    </row>
    <row r="30" spans="1:46" ht="139.5">
      <c r="A30" s="135">
        <v>25</v>
      </c>
      <c r="B30" s="123" t="s">
        <v>136</v>
      </c>
      <c r="C30" s="123"/>
      <c r="D30" s="165" t="s">
        <v>278</v>
      </c>
      <c r="E30" s="77" t="s">
        <v>39</v>
      </c>
      <c r="F30" s="77" t="s">
        <v>52</v>
      </c>
      <c r="G30" s="112" t="s">
        <v>41</v>
      </c>
      <c r="H30" s="112" t="s">
        <v>71</v>
      </c>
      <c r="I30" s="112" t="s">
        <v>43</v>
      </c>
      <c r="J30" s="112" t="s">
        <v>65</v>
      </c>
      <c r="K30" s="121" t="s">
        <v>45</v>
      </c>
      <c r="L30" s="119" t="s">
        <v>124</v>
      </c>
      <c r="M30" s="138" t="s">
        <v>125</v>
      </c>
      <c r="N30" s="77" t="s">
        <v>24</v>
      </c>
      <c r="O30" s="136">
        <f>P30*1.23</f>
        <v>1968000000</v>
      </c>
      <c r="P30" s="136">
        <v>1600000000</v>
      </c>
      <c r="Q30" s="136">
        <v>481930000</v>
      </c>
      <c r="R30" s="154"/>
      <c r="S30" s="154">
        <v>50000000</v>
      </c>
      <c r="T30" s="150"/>
      <c r="U30" s="130">
        <f>0/A1</f>
        <v>0</v>
      </c>
      <c r="V30" s="150" t="s">
        <v>49</v>
      </c>
      <c r="W30" s="41">
        <f>0/A1</f>
        <v>0</v>
      </c>
      <c r="X30" s="155" t="s">
        <v>49</v>
      </c>
      <c r="Y30" s="159" t="s">
        <v>49</v>
      </c>
      <c r="Z30" s="151">
        <v>0</v>
      </c>
      <c r="AA30" s="137" t="s">
        <v>49</v>
      </c>
      <c r="AB30" s="139" t="s">
        <v>49</v>
      </c>
      <c r="AC30" s="53" t="s">
        <v>49</v>
      </c>
      <c r="AD30" s="161" t="s">
        <v>49</v>
      </c>
      <c r="AE30" s="54">
        <v>0</v>
      </c>
      <c r="AF30" s="54">
        <v>73394</v>
      </c>
      <c r="AG30" s="142" t="s">
        <v>49</v>
      </c>
      <c r="AH30" s="142" t="s">
        <v>49</v>
      </c>
      <c r="AI30" s="162" t="e">
        <f t="shared" ref="AI30:AI35" si="7">O30/AE30</f>
        <v>#DIV/0!</v>
      </c>
      <c r="AJ30" s="162">
        <f t="shared" ref="AJ30:AJ35" si="8">O30/AF30</f>
        <v>26814.180995721723</v>
      </c>
      <c r="AK30" s="160" t="e">
        <f t="shared" ref="AK30:AK35" si="9">SUM(R30+S30+T30)/AE30</f>
        <v>#DIV/0!</v>
      </c>
      <c r="AL30" s="160">
        <f t="shared" ref="AL30:AL35" si="10">SUM(R30+S30+T30)/AF30</f>
        <v>681.25459846853971</v>
      </c>
      <c r="AM30" s="169" t="s">
        <v>359</v>
      </c>
      <c r="AN30" s="173" t="s">
        <v>334</v>
      </c>
      <c r="AO30" s="173" t="s">
        <v>322</v>
      </c>
      <c r="AP30" s="173" t="s">
        <v>327</v>
      </c>
      <c r="AQ30" s="173" t="s">
        <v>322</v>
      </c>
      <c r="AR30" s="173" t="s">
        <v>323</v>
      </c>
      <c r="AS30" s="170" t="s">
        <v>318</v>
      </c>
      <c r="AT30" s="173" t="s">
        <v>321</v>
      </c>
    </row>
    <row r="31" spans="1:46" ht="83.4" customHeight="1">
      <c r="A31" s="135">
        <v>26</v>
      </c>
      <c r="B31" s="123" t="s">
        <v>137</v>
      </c>
      <c r="C31" s="123"/>
      <c r="D31" s="165" t="s">
        <v>277</v>
      </c>
      <c r="E31" s="77" t="s">
        <v>39</v>
      </c>
      <c r="F31" s="77" t="s">
        <v>52</v>
      </c>
      <c r="G31" s="112" t="s">
        <v>41</v>
      </c>
      <c r="H31" s="112" t="s">
        <v>71</v>
      </c>
      <c r="I31" s="112" t="s">
        <v>59</v>
      </c>
      <c r="J31" s="112" t="s">
        <v>44</v>
      </c>
      <c r="K31" s="121" t="s">
        <v>45</v>
      </c>
      <c r="L31" s="119" t="s">
        <v>138</v>
      </c>
      <c r="M31" s="138" t="s">
        <v>122</v>
      </c>
      <c r="N31" s="77" t="s">
        <v>24</v>
      </c>
      <c r="O31" s="136">
        <f>P31*1.23</f>
        <v>5248000000.4099998</v>
      </c>
      <c r="P31" s="136">
        <v>4266666667</v>
      </c>
      <c r="Q31" s="136">
        <v>2470000000</v>
      </c>
      <c r="R31" s="154">
        <v>900000000</v>
      </c>
      <c r="S31" s="154">
        <v>400000000</v>
      </c>
      <c r="T31" s="150"/>
      <c r="U31" s="130">
        <f>1996931358/A1</f>
        <v>466507348.96977061</v>
      </c>
      <c r="V31" s="150" t="s">
        <v>286</v>
      </c>
      <c r="W31" s="41">
        <f>133598371/A1</f>
        <v>31210197.402233332</v>
      </c>
      <c r="X31" s="160" t="s">
        <v>286</v>
      </c>
      <c r="Y31" s="160" t="s">
        <v>286</v>
      </c>
      <c r="Z31" s="151">
        <f>81604.05/A1</f>
        <v>19063.694341914688</v>
      </c>
      <c r="AA31" s="137" t="s">
        <v>49</v>
      </c>
      <c r="AB31" s="139">
        <v>1192264</v>
      </c>
      <c r="AC31" s="53">
        <v>2878590</v>
      </c>
      <c r="AD31" s="161">
        <f>AB31/AC31</f>
        <v>0.4141833328122449</v>
      </c>
      <c r="AE31" s="54">
        <v>661831</v>
      </c>
      <c r="AF31" s="54">
        <v>910417</v>
      </c>
      <c r="AG31" s="142" t="s">
        <v>49</v>
      </c>
      <c r="AH31" s="142" t="s">
        <v>49</v>
      </c>
      <c r="AI31" s="162">
        <f t="shared" si="7"/>
        <v>7929.5167503637631</v>
      </c>
      <c r="AJ31" s="162">
        <f t="shared" si="8"/>
        <v>5764.3914825953379</v>
      </c>
      <c r="AK31" s="160">
        <f t="shared" si="9"/>
        <v>1964.2476704778107</v>
      </c>
      <c r="AL31" s="160">
        <f t="shared" si="10"/>
        <v>1427.9170973301245</v>
      </c>
      <c r="AM31" s="169" t="s">
        <v>360</v>
      </c>
      <c r="AN31" s="173" t="s">
        <v>335</v>
      </c>
      <c r="AO31" s="173" t="s">
        <v>322</v>
      </c>
      <c r="AP31" s="173" t="s">
        <v>327</v>
      </c>
      <c r="AQ31" s="173" t="s">
        <v>322</v>
      </c>
      <c r="AR31" s="173" t="s">
        <v>323</v>
      </c>
      <c r="AS31" s="171" t="s">
        <v>139</v>
      </c>
      <c r="AT31" s="173" t="s">
        <v>321</v>
      </c>
    </row>
    <row r="32" spans="1:46" ht="263.5">
      <c r="A32" s="135">
        <v>27</v>
      </c>
      <c r="B32" s="123" t="s">
        <v>140</v>
      </c>
      <c r="C32" s="123"/>
      <c r="D32" s="165" t="s">
        <v>285</v>
      </c>
      <c r="E32" s="77" t="s">
        <v>39</v>
      </c>
      <c r="F32" s="77" t="s">
        <v>52</v>
      </c>
      <c r="G32" s="112" t="s">
        <v>41</v>
      </c>
      <c r="H32" s="112" t="s">
        <v>141</v>
      </c>
      <c r="I32" s="112" t="s">
        <v>43</v>
      </c>
      <c r="J32" s="112" t="s">
        <v>65</v>
      </c>
      <c r="K32" s="121" t="s">
        <v>45</v>
      </c>
      <c r="L32" s="119" t="s">
        <v>142</v>
      </c>
      <c r="M32" s="138" t="s">
        <v>87</v>
      </c>
      <c r="N32" s="77" t="s">
        <v>24</v>
      </c>
      <c r="O32" s="136">
        <v>382800000</v>
      </c>
      <c r="P32" s="136">
        <v>311200000</v>
      </c>
      <c r="Q32" s="136">
        <v>247000000</v>
      </c>
      <c r="R32" s="154"/>
      <c r="S32" s="154">
        <v>12000000</v>
      </c>
      <c r="T32" s="150"/>
      <c r="U32" s="130">
        <f>0/A1</f>
        <v>0</v>
      </c>
      <c r="V32" s="150" t="s">
        <v>49</v>
      </c>
      <c r="W32" s="41">
        <f>0/A1</f>
        <v>0</v>
      </c>
      <c r="X32" s="155" t="s">
        <v>49</v>
      </c>
      <c r="Y32" s="159" t="s">
        <v>49</v>
      </c>
      <c r="Z32" s="151">
        <v>0</v>
      </c>
      <c r="AA32" s="137" t="s">
        <v>49</v>
      </c>
      <c r="AB32" s="139" t="s">
        <v>49</v>
      </c>
      <c r="AC32" s="53" t="s">
        <v>49</v>
      </c>
      <c r="AD32" s="161" t="s">
        <v>49</v>
      </c>
      <c r="AE32" s="54">
        <v>0</v>
      </c>
      <c r="AF32" s="54">
        <v>107581</v>
      </c>
      <c r="AG32" s="142">
        <v>0</v>
      </c>
      <c r="AH32" s="142">
        <v>32</v>
      </c>
      <c r="AI32" s="162" t="e">
        <f t="shared" si="7"/>
        <v>#DIV/0!</v>
      </c>
      <c r="AJ32" s="162">
        <f t="shared" si="8"/>
        <v>3558.249133211255</v>
      </c>
      <c r="AK32" s="160" t="e">
        <f t="shared" si="9"/>
        <v>#DIV/0!</v>
      </c>
      <c r="AL32" s="160">
        <f t="shared" si="10"/>
        <v>111.54385997527444</v>
      </c>
      <c r="AM32" s="169" t="s">
        <v>359</v>
      </c>
      <c r="AN32" s="173" t="s">
        <v>330</v>
      </c>
      <c r="AO32" s="173" t="s">
        <v>322</v>
      </c>
      <c r="AP32" s="173" t="s">
        <v>327</v>
      </c>
      <c r="AQ32" s="173" t="s">
        <v>322</v>
      </c>
      <c r="AR32" s="173" t="s">
        <v>323</v>
      </c>
      <c r="AS32" s="170" t="s">
        <v>318</v>
      </c>
      <c r="AT32" s="173" t="s">
        <v>321</v>
      </c>
    </row>
    <row r="33" spans="1:46" ht="116">
      <c r="A33" s="135">
        <v>28</v>
      </c>
      <c r="B33" s="123" t="s">
        <v>115</v>
      </c>
      <c r="C33" s="123"/>
      <c r="D33" s="165" t="s">
        <v>264</v>
      </c>
      <c r="E33" s="77" t="s">
        <v>39</v>
      </c>
      <c r="F33" s="77" t="s">
        <v>40</v>
      </c>
      <c r="G33" s="112" t="s">
        <v>41</v>
      </c>
      <c r="H33" s="112" t="s">
        <v>42</v>
      </c>
      <c r="I33" s="112" t="s">
        <v>53</v>
      </c>
      <c r="J33" s="112" t="s">
        <v>44</v>
      </c>
      <c r="K33" s="121" t="s">
        <v>45</v>
      </c>
      <c r="L33" s="119" t="s">
        <v>143</v>
      </c>
      <c r="M33" s="138" t="s">
        <v>144</v>
      </c>
      <c r="N33" s="77" t="s">
        <v>24</v>
      </c>
      <c r="O33" s="136">
        <f>P33*1.23</f>
        <v>30750000</v>
      </c>
      <c r="P33" s="136">
        <v>25000000</v>
      </c>
      <c r="Q33" s="136">
        <v>25000000</v>
      </c>
      <c r="R33" s="154"/>
      <c r="S33" s="154">
        <v>24600000</v>
      </c>
      <c r="T33" s="150"/>
      <c r="U33" s="130">
        <f>0/A1</f>
        <v>0</v>
      </c>
      <c r="V33" s="150" t="s">
        <v>49</v>
      </c>
      <c r="W33" s="41">
        <f>0/A1</f>
        <v>0</v>
      </c>
      <c r="X33" s="155" t="s">
        <v>49</v>
      </c>
      <c r="Y33" s="159" t="s">
        <v>49</v>
      </c>
      <c r="Z33" s="151">
        <v>0</v>
      </c>
      <c r="AA33" s="137" t="s">
        <v>49</v>
      </c>
      <c r="AB33" s="139">
        <v>0</v>
      </c>
      <c r="AC33" s="53">
        <v>107864</v>
      </c>
      <c r="AD33" s="161">
        <f>AB33/AC33</f>
        <v>0</v>
      </c>
      <c r="AE33" s="54">
        <v>0</v>
      </c>
      <c r="AF33" s="54">
        <v>32704</v>
      </c>
      <c r="AG33" s="142" t="s">
        <v>49</v>
      </c>
      <c r="AH33" s="142" t="s">
        <v>49</v>
      </c>
      <c r="AI33" s="162" t="e">
        <f t="shared" si="7"/>
        <v>#DIV/0!</v>
      </c>
      <c r="AJ33" s="162">
        <f t="shared" si="8"/>
        <v>940.2519569471624</v>
      </c>
      <c r="AK33" s="160" t="e">
        <f t="shared" si="9"/>
        <v>#DIV/0!</v>
      </c>
      <c r="AL33" s="160">
        <f t="shared" si="10"/>
        <v>752.20156555772996</v>
      </c>
      <c r="AM33" s="169" t="s">
        <v>361</v>
      </c>
      <c r="AN33" s="173" t="s">
        <v>332</v>
      </c>
      <c r="AO33" s="173" t="s">
        <v>322</v>
      </c>
      <c r="AP33" s="173" t="s">
        <v>327</v>
      </c>
      <c r="AQ33" s="173" t="s">
        <v>322</v>
      </c>
      <c r="AR33" s="173" t="s">
        <v>323</v>
      </c>
      <c r="AS33" s="171" t="s">
        <v>145</v>
      </c>
      <c r="AT33" s="173" t="s">
        <v>321</v>
      </c>
    </row>
    <row r="34" spans="1:46" ht="325.5">
      <c r="A34" s="135">
        <v>29</v>
      </c>
      <c r="B34" s="123" t="s">
        <v>146</v>
      </c>
      <c r="C34" s="123"/>
      <c r="D34" s="165" t="s">
        <v>269</v>
      </c>
      <c r="E34" s="77" t="s">
        <v>39</v>
      </c>
      <c r="F34" s="77" t="s">
        <v>40</v>
      </c>
      <c r="G34" s="112" t="s">
        <v>41</v>
      </c>
      <c r="H34" s="112" t="s">
        <v>42</v>
      </c>
      <c r="I34" s="112" t="s">
        <v>99</v>
      </c>
      <c r="J34" s="112" t="s">
        <v>65</v>
      </c>
      <c r="K34" s="121" t="s">
        <v>45</v>
      </c>
      <c r="L34" s="119" t="s">
        <v>147</v>
      </c>
      <c r="M34" s="138"/>
      <c r="N34" s="77" t="s">
        <v>24</v>
      </c>
      <c r="O34" s="136">
        <v>212870000</v>
      </c>
      <c r="P34" s="136">
        <f>O34/1.23</f>
        <v>173065040.65040651</v>
      </c>
      <c r="Q34" s="136">
        <v>119750000</v>
      </c>
      <c r="R34" s="154"/>
      <c r="S34" s="154">
        <v>10000000</v>
      </c>
      <c r="T34" s="150"/>
      <c r="U34" s="130">
        <f>0/A1</f>
        <v>0</v>
      </c>
      <c r="V34" s="150" t="s">
        <v>49</v>
      </c>
      <c r="W34" s="41">
        <f>0/A1</f>
        <v>0</v>
      </c>
      <c r="X34" s="155" t="s">
        <v>49</v>
      </c>
      <c r="Y34" s="159" t="s">
        <v>49</v>
      </c>
      <c r="Z34" s="151">
        <v>0</v>
      </c>
      <c r="AA34" s="137" t="s">
        <v>49</v>
      </c>
      <c r="AB34" s="139">
        <v>0</v>
      </c>
      <c r="AC34" s="53">
        <v>259441</v>
      </c>
      <c r="AD34" s="161">
        <f>AB34/AC34</f>
        <v>0</v>
      </c>
      <c r="AE34" s="54">
        <v>0</v>
      </c>
      <c r="AF34" s="54">
        <v>113039</v>
      </c>
      <c r="AG34" s="142" t="s">
        <v>49</v>
      </c>
      <c r="AH34" s="142" t="s">
        <v>49</v>
      </c>
      <c r="AI34" s="162" t="e">
        <f t="shared" si="7"/>
        <v>#DIV/0!</v>
      </c>
      <c r="AJ34" s="162">
        <f t="shared" si="8"/>
        <v>1883.155371155088</v>
      </c>
      <c r="AK34" s="160" t="e">
        <f t="shared" si="9"/>
        <v>#DIV/0!</v>
      </c>
      <c r="AL34" s="160">
        <f t="shared" si="10"/>
        <v>88.465043038243437</v>
      </c>
      <c r="AM34" s="169" t="s">
        <v>359</v>
      </c>
      <c r="AN34" s="173" t="s">
        <v>331</v>
      </c>
      <c r="AO34" s="173" t="s">
        <v>322</v>
      </c>
      <c r="AP34" s="173" t="s">
        <v>327</v>
      </c>
      <c r="AQ34" s="173" t="s">
        <v>322</v>
      </c>
      <c r="AR34" s="173" t="s">
        <v>323</v>
      </c>
      <c r="AS34" s="170" t="s">
        <v>318</v>
      </c>
      <c r="AT34" s="173" t="s">
        <v>321</v>
      </c>
    </row>
    <row r="35" spans="1:46" ht="116">
      <c r="A35" s="135">
        <v>30</v>
      </c>
      <c r="B35" s="123" t="s">
        <v>148</v>
      </c>
      <c r="C35" s="123"/>
      <c r="D35" s="165" t="s">
        <v>284</v>
      </c>
      <c r="E35" s="77" t="s">
        <v>116</v>
      </c>
      <c r="F35" s="77" t="s">
        <v>52</v>
      </c>
      <c r="G35" s="112" t="s">
        <v>41</v>
      </c>
      <c r="H35" s="112" t="s">
        <v>141</v>
      </c>
      <c r="I35" s="112" t="s">
        <v>43</v>
      </c>
      <c r="J35" s="112" t="s">
        <v>65</v>
      </c>
      <c r="K35" s="121" t="s">
        <v>45</v>
      </c>
      <c r="L35" s="119" t="s">
        <v>149</v>
      </c>
      <c r="M35" s="138"/>
      <c r="N35" s="77" t="s">
        <v>24</v>
      </c>
      <c r="O35" s="136">
        <v>663000000</v>
      </c>
      <c r="P35" s="136">
        <f>O35/1.23</f>
        <v>539024390.24390244</v>
      </c>
      <c r="Q35" s="136">
        <v>198000000</v>
      </c>
      <c r="R35" s="154"/>
      <c r="S35" s="154">
        <v>24800000</v>
      </c>
      <c r="T35" s="150"/>
      <c r="U35" s="130">
        <f>0/A1</f>
        <v>0</v>
      </c>
      <c r="V35" s="150" t="s">
        <v>49</v>
      </c>
      <c r="W35" s="41">
        <f>0/A1</f>
        <v>0</v>
      </c>
      <c r="X35" s="155" t="s">
        <v>49</v>
      </c>
      <c r="Y35" s="159" t="s">
        <v>49</v>
      </c>
      <c r="Z35" s="151">
        <v>0</v>
      </c>
      <c r="AA35" s="166" t="s">
        <v>300</v>
      </c>
      <c r="AB35" s="139" t="s">
        <v>49</v>
      </c>
      <c r="AC35" s="53" t="s">
        <v>49</v>
      </c>
      <c r="AD35" s="161" t="s">
        <v>49</v>
      </c>
      <c r="AE35" s="54">
        <v>0</v>
      </c>
      <c r="AF35" s="54">
        <v>36500</v>
      </c>
      <c r="AG35" s="142" t="s">
        <v>49</v>
      </c>
      <c r="AH35" s="142" t="s">
        <v>49</v>
      </c>
      <c r="AI35" s="162" t="e">
        <f t="shared" si="7"/>
        <v>#DIV/0!</v>
      </c>
      <c r="AJ35" s="162">
        <f t="shared" si="8"/>
        <v>18164.383561643837</v>
      </c>
      <c r="AK35" s="160" t="e">
        <f t="shared" si="9"/>
        <v>#DIV/0!</v>
      </c>
      <c r="AL35" s="160">
        <f t="shared" si="10"/>
        <v>679.45205479452056</v>
      </c>
      <c r="AM35" s="169" t="s">
        <v>359</v>
      </c>
      <c r="AN35" s="173" t="s">
        <v>330</v>
      </c>
      <c r="AO35" s="173" t="s">
        <v>322</v>
      </c>
      <c r="AP35" s="173" t="s">
        <v>327</v>
      </c>
      <c r="AQ35" s="173" t="s">
        <v>322</v>
      </c>
      <c r="AR35" s="173" t="s">
        <v>323</v>
      </c>
      <c r="AS35" s="170" t="s">
        <v>318</v>
      </c>
      <c r="AT35" s="173" t="s">
        <v>321</v>
      </c>
    </row>
    <row r="36" spans="1:46">
      <c r="F36" s="124"/>
      <c r="AS36" s="172"/>
    </row>
    <row r="37" spans="1:46">
      <c r="R37" s="132"/>
      <c r="S37" s="132"/>
    </row>
    <row r="40" spans="1:46">
      <c r="S40" s="133"/>
    </row>
  </sheetData>
  <autoFilter ref="A6:AT6" xr:uid="{48DE1D1D-856E-4E55-94A4-1D94E8297831}"/>
  <mergeCells count="40">
    <mergeCell ref="AP3:AP5"/>
    <mergeCell ref="O3:O5"/>
    <mergeCell ref="P3:P5"/>
    <mergeCell ref="Q3:Q5"/>
    <mergeCell ref="U3:U5"/>
    <mergeCell ref="W3:W5"/>
    <mergeCell ref="AI4:AJ4"/>
    <mergeCell ref="AB4:AD4"/>
    <mergeCell ref="R3:T4"/>
    <mergeCell ref="L3:L5"/>
    <mergeCell ref="K3:K5"/>
    <mergeCell ref="N3:N5"/>
    <mergeCell ref="C3:C5"/>
    <mergeCell ref="A2:N2"/>
    <mergeCell ref="A3:A5"/>
    <mergeCell ref="B3:B5"/>
    <mergeCell ref="D3:D5"/>
    <mergeCell ref="E3:E5"/>
    <mergeCell ref="F3:F5"/>
    <mergeCell ref="H3:H5"/>
    <mergeCell ref="G3:G5"/>
    <mergeCell ref="I3:I5"/>
    <mergeCell ref="J3:J5"/>
    <mergeCell ref="M3:M5"/>
    <mergeCell ref="AB2:AL2"/>
    <mergeCell ref="AA3:AA5"/>
    <mergeCell ref="O2:AA2"/>
    <mergeCell ref="AM2:AT2"/>
    <mergeCell ref="AT3:AT5"/>
    <mergeCell ref="AR3:AR5"/>
    <mergeCell ref="AS3:AS5"/>
    <mergeCell ref="AE4:AF4"/>
    <mergeCell ref="AG4:AH4"/>
    <mergeCell ref="AK4:AL4"/>
    <mergeCell ref="Z3:Z5"/>
    <mergeCell ref="AB3:AL3"/>
    <mergeCell ref="AM3:AM5"/>
    <mergeCell ref="AN3:AN5"/>
    <mergeCell ref="AO3:AO5"/>
    <mergeCell ref="AQ3:AQ5"/>
  </mergeCells>
  <phoneticPr fontId="16" type="noConversion"/>
  <conditionalFormatting sqref="B6:B14 B17:B30">
    <cfRule type="duplicateValues" dxfId="5" priority="4"/>
  </conditionalFormatting>
  <conditionalFormatting sqref="B15:B16 C6:C10 C17:C22 C24:C30 C13:C15">
    <cfRule type="duplicateValues" dxfId="4" priority="3"/>
  </conditionalFormatting>
  <conditionalFormatting sqref="B31:B35">
    <cfRule type="duplicateValues" dxfId="3" priority="5"/>
  </conditionalFormatting>
  <conditionalFormatting sqref="C12">
    <cfRule type="duplicateValues" dxfId="2" priority="2"/>
  </conditionalFormatting>
  <conditionalFormatting sqref="C23">
    <cfRule type="duplicateValues" dxfId="1" priority="1"/>
  </conditionalFormatting>
  <conditionalFormatting sqref="C31:C35">
    <cfRule type="duplicateValues" dxfId="0" priority="6"/>
  </conditionalFormatting>
  <dataValidations count="4">
    <dataValidation type="list" allowBlank="1" showInputMessage="1" showErrorMessage="1" sqref="E6:E1048576 E2" xr:uid="{7AD00450-548D-4A91-9294-55570F9B5C94}">
      <formula1>"Priority, Non-priority"</formula1>
    </dataValidation>
    <dataValidation type="list" allowBlank="1" showInputMessage="1" showErrorMessage="1" sqref="F6:F35" xr:uid="{F1C02AC7-F13F-40C2-A964-673D490CE711}">
      <formula1>"Project, Large-scale project, Scheme, Large-scale scheme"</formula1>
    </dataValidation>
    <dataValidation type="list" allowBlank="1" showInputMessage="1" showErrorMessage="1" sqref="H105:J1048576 M105:M1048576 M2 H2:J2" xr:uid="{403B201E-4D21-4D22-B240-9F1811D9D6B5}">
      <formula1>"Early stages, Advanced stage, Completed"</formula1>
    </dataValidation>
    <dataValidation type="list" allowBlank="1" showInputMessage="1" showErrorMessage="1" sqref="M36:M104 K36:K71 H36:J104" xr:uid="{71E7E14B-6310-4569-B612-96053BB01E55}">
      <formula1>"Not started, Tender ongoing, Construction ongoing, Complete"</formula1>
    </dataValidation>
  </dataValidations>
  <hyperlinks>
    <hyperlink ref="K6" r:id="rId1" display="https://www.gov.pl/web/funduszmodernizacyjny/Programy-Priorytetowe" xr:uid="{BA454314-75F2-4E49-B14A-4B90473FEB0C}"/>
    <hyperlink ref="K7" r:id="rId2" display="https://www.gov.pl/web/funduszmodernizacyjny/Programy-Priorytetowe" xr:uid="{627035AC-A878-4F32-AA9B-A2DF3A249670}"/>
    <hyperlink ref="K8" r:id="rId3" display="https://www.gov.pl/web/funduszmodernizacyjny/Programy-Priorytetowe" xr:uid="{3D2B917E-859B-4F38-9448-BAAA28958C5F}"/>
    <hyperlink ref="K9" r:id="rId4" display="https://www.gov.pl/web/funduszmodernizacyjny/Programy-Priorytetowe" xr:uid="{92BC75AC-385A-4097-B601-3D928FC49E31}"/>
    <hyperlink ref="K10" r:id="rId5" display="https://www.gov.pl/web/funduszmodernizacyjny/Programy-Priorytetowe" xr:uid="{0C8D298E-417B-413B-9773-4460DAB9FA29}"/>
    <hyperlink ref="K11" r:id="rId6" display="https://www.gov.pl/web/funduszmodernizacyjny/Programy-Priorytetowe" xr:uid="{5A2406A9-6D20-41B7-AC3F-8A9934A46084}"/>
    <hyperlink ref="K12" r:id="rId7" display="https://www.gov.pl/web/funduszmodernizacyjny/Programy-Priorytetowe" xr:uid="{8706F3DF-6382-4110-98B5-A3EC059EA840}"/>
    <hyperlink ref="K13" r:id="rId8" display="https://www.gov.pl/web/funduszmodernizacyjny/Programy-Priorytetowe" xr:uid="{C351E428-7C2D-468B-9387-AF796275DBBD}"/>
    <hyperlink ref="K14" r:id="rId9" display="https://www.gov.pl/web/funduszmodernizacyjny/Programy-Priorytetowe" xr:uid="{5C043698-5FA9-4A5D-A958-AD0DFD8ABC7A}"/>
    <hyperlink ref="K17" r:id="rId10" display="https://www.gov.pl/web/funduszmodernizacyjny/Programy-Priorytetowe" xr:uid="{E59055EC-9783-4E39-B24D-30A4DAA6E6BA}"/>
    <hyperlink ref="K18" r:id="rId11" display="https://www.gov.pl/web/funduszmodernizacyjny/Programy-Priorytetowe" xr:uid="{14237E42-5550-47D6-9277-8D8F0D48CEDE}"/>
    <hyperlink ref="K19" r:id="rId12" display="https://www.gov.pl/web/funduszmodernizacyjny/Programy-Priorytetowe" xr:uid="{2A7A6C74-A00D-4ABC-A0F2-533E8E5B86B2}"/>
    <hyperlink ref="K20" r:id="rId13" display="https://www.gov.pl/web/funduszmodernizacyjny/Programy-Priorytetowe" xr:uid="{EF5B4C61-86D5-4F8B-80F0-87DD4250D9B2}"/>
    <hyperlink ref="K21" r:id="rId14" display="https://www.gov.pl/web/funduszmodernizacyjny/Programy-Priorytetowe" xr:uid="{895CF5A8-4FB4-4AF0-994D-CC755343F1FB}"/>
    <hyperlink ref="K22" r:id="rId15" display="https://www.gov.pl/web/funduszmodernizacyjny/Programy-Priorytetowe" xr:uid="{2C0BCEFB-CCF8-41C4-9311-04F3F3DBE5AF}"/>
    <hyperlink ref="K23" r:id="rId16" display="https://www.gov.pl/web/funduszmodernizacyjny/Programy-Priorytetowe" xr:uid="{CA395E48-0784-4E85-B159-144A6442974E}"/>
    <hyperlink ref="K24" r:id="rId17" display="https://www.gov.pl/web/funduszmodernizacyjny/Programy-Priorytetowe" xr:uid="{8023BA9A-2D52-45AC-B3C3-1E0D150348D7}"/>
    <hyperlink ref="K25" r:id="rId18" display="https://www.gov.pl/web/funduszmodernizacyjny/Programy-Priorytetowe" xr:uid="{34389931-40D5-45C0-8F5D-63455F862377}"/>
    <hyperlink ref="K26" r:id="rId19" display="https://www.gov.pl/web/funduszmodernizacyjny/Programy-Priorytetowe" xr:uid="{08B8608D-D6E9-491B-A281-48DF0D585946}"/>
    <hyperlink ref="K28" r:id="rId20" display="https://www.gov.pl/web/funduszmodernizacyjny/Programy-Priorytetowe" xr:uid="{94B8CC53-6FFE-4E4D-AA0E-423D63101AE4}"/>
    <hyperlink ref="K29" r:id="rId21" display="https://www.gov.pl/web/funduszmodernizacyjny/Programy-Priorytetowe" xr:uid="{13FA7136-C8EB-42FA-AB97-9D7BBA47AB3B}"/>
    <hyperlink ref="K30" r:id="rId22" display="https://www.gov.pl/web/funduszmodernizacyjny/Programy-Priorytetowe" xr:uid="{B60A2A9F-6BF0-47F9-98FE-8341EF6B9B8F}"/>
    <hyperlink ref="K15" r:id="rId23" display="https://www.gov.pl/web/funduszmodernizacyjny/Programy-Priorytetowe" xr:uid="{A3EE5A5E-2DD3-4C86-B25B-CA3FE64B8DAF}"/>
    <hyperlink ref="K16" r:id="rId24" display="https://www.gov.pl/web/funduszmodernizacyjny/Programy-Priorytetowe" xr:uid="{91ECF0A1-A873-434A-8014-AB156FDDDD1A}"/>
    <hyperlink ref="K27" r:id="rId25" display="https://www.gov.pl/web/funduszmodernizacyjny/Programy-Priorytetowe" xr:uid="{E2F44504-B131-40E4-97F8-D008059BDDE8}"/>
    <hyperlink ref="K31" r:id="rId26" display="https://www.gov.pl/web/funduszmodernizacyjny/Programy-Priorytetowe" xr:uid="{FF59D84B-9AA9-4519-8F17-B118447BB8DF}"/>
    <hyperlink ref="K32:K35" r:id="rId27" display="https://www.gov.pl/web/funduszmodernizacyjny/Programy-Priorytetowe" xr:uid="{EF6CCDE4-C957-45E8-ADB7-83B817AABA7A}"/>
    <hyperlink ref="AS31" r:id="rId28" xr:uid="{E19277D3-22DD-4E06-8311-FE6031A8417F}"/>
    <hyperlink ref="AS33" r:id="rId29" xr:uid="{E8BB8D7F-3803-4615-B171-C521B815A6AF}"/>
  </hyperlinks>
  <pageMargins left="0.7" right="0.7" top="0.75" bottom="0.75" header="0.3" footer="0.3"/>
  <pageSetup paperSize="9" orientation="portrait" verticalDpi="0" r:id="rId30"/>
  <extLst>
    <ext xmlns:x14="http://schemas.microsoft.com/office/spreadsheetml/2009/9/main" uri="{CCE6A557-97BC-4b89-ADB6-D9C93CAAB3DF}">
      <x14:dataValidations xmlns:xm="http://schemas.microsoft.com/office/excel/2006/main" count="5">
        <x14:dataValidation type="list" allowBlank="1" showInputMessage="1" showErrorMessage="1" xr:uid="{6F644287-CCA1-4673-913D-C4F0A7EB196F}">
          <x14:formula1>
            <xm:f>'Dropdown Menu'!$I$4:$I$7</xm:f>
          </x14:formula1>
          <xm:sqref>G6:G35</xm:sqref>
        </x14:dataValidation>
        <x14:dataValidation type="list" allowBlank="1" showInputMessage="1" showErrorMessage="1" xr:uid="{0DFA8758-8995-4CDB-A546-C75393454D2D}">
          <x14:formula1>
            <xm:f>'Dropdown Menu'!$L$4:$L$12</xm:f>
          </x14:formula1>
          <xm:sqref>I6:I35</xm:sqref>
        </x14:dataValidation>
        <x14:dataValidation type="list" allowBlank="1" showInputMessage="1" showErrorMessage="1" xr:uid="{2D4C2A19-3C02-4390-9D08-FC8EEB47A7C2}">
          <x14:formula1>
            <xm:f>'Dropdown Menu'!$N$4:$N$10</xm:f>
          </x14:formula1>
          <xm:sqref>J6:J35</xm:sqref>
        </x14:dataValidation>
        <x14:dataValidation type="list" allowBlank="1" showInputMessage="1" showErrorMessage="1" xr:uid="{1EF44B0E-710B-4EB9-B895-DC29079C6184}">
          <x14:formula1>
            <xm:f>'Dropdown Menu'!$F$4:$F$9</xm:f>
          </x14:formula1>
          <xm:sqref>H6:H35</xm:sqref>
        </x14:dataValidation>
        <x14:dataValidation type="list" allowBlank="1" showInputMessage="1" showErrorMessage="1" xr:uid="{5DB5316E-6A0E-477F-9D89-9F012DAA1AF0}">
          <x14:formula1>
            <xm:f>'Dropdown Menu'!$R$4:$R$28</xm:f>
          </x14:formula1>
          <xm:sqref>M6:M35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B04C9-A2CA-46A1-95DD-26498CC5F4A6}">
  <dimension ref="A1:O19"/>
  <sheetViews>
    <sheetView zoomScale="55" zoomScaleNormal="55" zoomScalePageLayoutView="60" workbookViewId="0">
      <pane xSplit="2" ySplit="2" topLeftCell="F3" activePane="bottomRight" state="frozen"/>
      <selection pane="topRight" activeCell="C1" sqref="C1"/>
      <selection pane="bottomLeft" activeCell="A2" sqref="A2"/>
      <selection pane="bottomRight" activeCell="A3" sqref="A3:XFD5"/>
    </sheetView>
  </sheetViews>
  <sheetFormatPr defaultColWidth="0" defaultRowHeight="0" customHeight="1" zeroHeight="1"/>
  <cols>
    <col min="1" max="1" width="9.08984375" customWidth="1"/>
    <col min="2" max="2" width="29.54296875" customWidth="1"/>
    <col min="3" max="8" width="26" style="26" customWidth="1"/>
    <col min="9" max="9" width="29.90625" style="26" customWidth="1"/>
    <col min="10" max="10" width="26" style="26" customWidth="1"/>
    <col min="11" max="11" width="26" style="61" customWidth="1"/>
    <col min="12" max="14" width="26" style="26" customWidth="1"/>
    <col min="15" max="15" width="38.08984375" style="32" customWidth="1"/>
    <col min="16" max="16" width="0" hidden="1" customWidth="1"/>
  </cols>
  <sheetData>
    <row r="1" spans="1:15" ht="15" hidden="1" thickBot="1">
      <c r="K1" s="26"/>
    </row>
    <row r="2" spans="1:15" ht="66" customHeight="1" thickBot="1">
      <c r="A2" s="47"/>
      <c r="B2" s="48"/>
      <c r="C2" s="217" t="s">
        <v>150</v>
      </c>
      <c r="D2" s="218"/>
      <c r="E2" s="218"/>
      <c r="F2" s="218"/>
      <c r="G2" s="218"/>
      <c r="H2" s="218"/>
      <c r="I2" s="218"/>
      <c r="J2" s="218"/>
      <c r="K2" s="231" t="s">
        <v>151</v>
      </c>
      <c r="L2" s="231"/>
      <c r="M2" s="231"/>
      <c r="N2" s="231"/>
      <c r="O2" s="232"/>
    </row>
    <row r="3" spans="1:15" ht="100.5" customHeight="1">
      <c r="A3" s="222" t="s">
        <v>14</v>
      </c>
      <c r="B3" s="225" t="s">
        <v>152</v>
      </c>
      <c r="C3" s="228" t="s">
        <v>153</v>
      </c>
      <c r="D3" s="219" t="s">
        <v>154</v>
      </c>
      <c r="E3" s="219" t="s">
        <v>155</v>
      </c>
      <c r="F3" s="50"/>
      <c r="G3" s="219" t="s">
        <v>156</v>
      </c>
      <c r="H3" s="219" t="s">
        <v>157</v>
      </c>
      <c r="I3" s="219" t="s">
        <v>158</v>
      </c>
      <c r="J3" s="219" t="s">
        <v>159</v>
      </c>
      <c r="K3" s="234" t="s">
        <v>160</v>
      </c>
      <c r="L3" s="234" t="s">
        <v>161</v>
      </c>
      <c r="M3" s="234" t="s">
        <v>162</v>
      </c>
      <c r="N3" s="234" t="s">
        <v>163</v>
      </c>
      <c r="O3" s="233" t="s">
        <v>164</v>
      </c>
    </row>
    <row r="4" spans="1:15" ht="64.5" customHeight="1">
      <c r="A4" s="223"/>
      <c r="B4" s="226"/>
      <c r="C4" s="229"/>
      <c r="D4" s="220"/>
      <c r="E4" s="220"/>
      <c r="F4" s="51" t="s">
        <v>165</v>
      </c>
      <c r="G4" s="220"/>
      <c r="H4" s="220"/>
      <c r="I4" s="220"/>
      <c r="J4" s="220"/>
      <c r="K4" s="234"/>
      <c r="L4" s="234"/>
      <c r="M4" s="234"/>
      <c r="N4" s="234"/>
      <c r="O4" s="233"/>
    </row>
    <row r="5" spans="1:15" ht="119.25" customHeight="1" thickBot="1">
      <c r="A5" s="224"/>
      <c r="B5" s="227"/>
      <c r="C5" s="230"/>
      <c r="D5" s="221"/>
      <c r="E5" s="221"/>
      <c r="F5" s="52"/>
      <c r="G5" s="221"/>
      <c r="H5" s="221"/>
      <c r="I5" s="221"/>
      <c r="J5" s="221"/>
      <c r="K5" s="234"/>
      <c r="L5" s="234"/>
      <c r="M5" s="234"/>
      <c r="N5" s="234"/>
      <c r="O5" s="233"/>
    </row>
    <row r="6" spans="1:15" ht="39.75" customHeight="1">
      <c r="A6" s="23">
        <v>1</v>
      </c>
      <c r="B6" s="33"/>
      <c r="C6" s="40"/>
      <c r="D6" s="39"/>
      <c r="E6" s="55"/>
      <c r="F6" s="71"/>
      <c r="G6" s="71"/>
      <c r="H6" s="71"/>
      <c r="I6" s="49"/>
      <c r="J6" s="49"/>
      <c r="K6" s="62"/>
      <c r="L6" s="62"/>
      <c r="M6" s="62"/>
      <c r="N6" s="39"/>
      <c r="O6" s="67"/>
    </row>
    <row r="7" spans="1:15" ht="39.75" customHeight="1">
      <c r="A7" s="24">
        <v>2</v>
      </c>
      <c r="B7" s="34"/>
      <c r="C7" s="36"/>
      <c r="D7" s="28"/>
      <c r="E7" s="56"/>
      <c r="F7" s="72"/>
      <c r="G7" s="72"/>
      <c r="H7" s="72"/>
      <c r="I7" s="43"/>
      <c r="J7" s="43"/>
      <c r="K7" s="63"/>
      <c r="L7" s="63"/>
      <c r="M7" s="63"/>
      <c r="N7" s="28"/>
      <c r="O7" s="68"/>
    </row>
    <row r="8" spans="1:15" ht="39.75" customHeight="1">
      <c r="A8" s="24">
        <v>3</v>
      </c>
      <c r="B8" s="34"/>
      <c r="C8" s="36"/>
      <c r="D8" s="29"/>
      <c r="E8" s="57"/>
      <c r="F8" s="73"/>
      <c r="G8" s="73"/>
      <c r="H8" s="73"/>
      <c r="I8" s="44"/>
      <c r="J8" s="44"/>
      <c r="K8" s="64"/>
      <c r="L8" s="64"/>
      <c r="M8" s="64"/>
      <c r="N8" s="29"/>
      <c r="O8" s="69"/>
    </row>
    <row r="9" spans="1:15" ht="39.75" customHeight="1">
      <c r="A9" s="24">
        <v>4</v>
      </c>
      <c r="B9" s="34"/>
      <c r="C9" s="36"/>
      <c r="D9" s="27"/>
      <c r="E9" s="58"/>
      <c r="F9" s="74"/>
      <c r="G9" s="74"/>
      <c r="H9" s="74"/>
      <c r="I9" s="42"/>
      <c r="J9" s="42"/>
      <c r="K9" s="65"/>
      <c r="L9" s="65"/>
      <c r="M9" s="65"/>
      <c r="N9" s="27"/>
      <c r="O9" s="70"/>
    </row>
    <row r="10" spans="1:15" ht="39.75" customHeight="1">
      <c r="A10" s="24">
        <v>5</v>
      </c>
      <c r="B10" s="34"/>
      <c r="C10" s="36"/>
      <c r="D10" s="27"/>
      <c r="E10" s="58"/>
      <c r="F10" s="74"/>
      <c r="G10" s="74"/>
      <c r="H10" s="74"/>
      <c r="I10" s="42"/>
      <c r="J10" s="42"/>
      <c r="K10" s="65"/>
      <c r="L10" s="65"/>
      <c r="M10" s="65"/>
      <c r="N10" s="27"/>
      <c r="O10" s="68"/>
    </row>
    <row r="11" spans="1:15" ht="39.75" customHeight="1">
      <c r="A11" s="24">
        <v>6</v>
      </c>
      <c r="B11" s="34"/>
      <c r="C11" s="36"/>
      <c r="D11" s="28"/>
      <c r="E11" s="56"/>
      <c r="F11" s="72"/>
      <c r="G11" s="72"/>
      <c r="H11" s="72"/>
      <c r="I11" s="43"/>
      <c r="J11" s="43"/>
      <c r="K11" s="63"/>
      <c r="L11" s="63"/>
      <c r="M11" s="63"/>
      <c r="N11" s="28"/>
      <c r="O11" s="68"/>
    </row>
    <row r="12" spans="1:15" ht="39.75" customHeight="1">
      <c r="A12" s="24">
        <v>7</v>
      </c>
      <c r="B12" s="34"/>
      <c r="C12" s="36"/>
      <c r="D12" s="29"/>
      <c r="E12" s="57"/>
      <c r="F12" s="73"/>
      <c r="G12" s="73"/>
      <c r="H12" s="73"/>
      <c r="I12" s="44"/>
      <c r="J12" s="44"/>
      <c r="K12" s="64"/>
      <c r="L12" s="64"/>
      <c r="M12" s="64"/>
      <c r="N12" s="29"/>
      <c r="O12" s="69"/>
    </row>
    <row r="13" spans="1:15" ht="39.75" customHeight="1">
      <c r="A13" s="24">
        <v>8</v>
      </c>
      <c r="B13" s="34"/>
      <c r="C13" s="36"/>
      <c r="D13" s="27"/>
      <c r="E13" s="58"/>
      <c r="F13" s="74"/>
      <c r="G13" s="74"/>
      <c r="H13" s="74"/>
      <c r="I13" s="42"/>
      <c r="J13" s="42"/>
      <c r="K13" s="65"/>
      <c r="L13" s="65"/>
      <c r="M13" s="65"/>
      <c r="N13" s="27"/>
      <c r="O13" s="70"/>
    </row>
    <row r="14" spans="1:15" ht="39.75" customHeight="1">
      <c r="A14" s="24">
        <v>9</v>
      </c>
      <c r="B14" s="34"/>
      <c r="C14" s="37"/>
      <c r="D14" s="30"/>
      <c r="E14" s="59"/>
      <c r="F14" s="75"/>
      <c r="G14" s="75"/>
      <c r="H14" s="75"/>
      <c r="I14" s="45"/>
      <c r="J14" s="45"/>
      <c r="K14" s="66"/>
      <c r="L14" s="66"/>
      <c r="M14" s="66"/>
      <c r="N14" s="30"/>
      <c r="O14" s="66"/>
    </row>
    <row r="15" spans="1:15" ht="39.75" customHeight="1">
      <c r="A15" s="24">
        <v>10</v>
      </c>
      <c r="B15" s="34"/>
      <c r="C15" s="37"/>
      <c r="D15" s="30"/>
      <c r="E15" s="59"/>
      <c r="F15" s="75"/>
      <c r="G15" s="75"/>
      <c r="H15" s="75"/>
      <c r="I15" s="45"/>
      <c r="J15" s="45"/>
      <c r="K15" s="66"/>
      <c r="L15" s="66"/>
      <c r="M15" s="66"/>
      <c r="N15" s="30"/>
      <c r="O15" s="66"/>
    </row>
    <row r="16" spans="1:15" ht="39.75" customHeight="1">
      <c r="A16" s="24">
        <v>11</v>
      </c>
      <c r="B16" s="34"/>
      <c r="C16" s="37"/>
      <c r="D16" s="30"/>
      <c r="E16" s="59"/>
      <c r="F16" s="75"/>
      <c r="G16" s="75"/>
      <c r="H16" s="75"/>
      <c r="I16" s="45"/>
      <c r="J16" s="45"/>
      <c r="K16" s="66"/>
      <c r="L16" s="66"/>
      <c r="M16" s="66"/>
      <c r="N16" s="30"/>
      <c r="O16" s="66"/>
    </row>
    <row r="17" spans="1:15" ht="39.75" customHeight="1" thickBot="1">
      <c r="A17" s="25" t="s">
        <v>166</v>
      </c>
      <c r="B17" s="35"/>
      <c r="C17" s="38"/>
      <c r="D17" s="31"/>
      <c r="E17" s="60"/>
      <c r="F17" s="76"/>
      <c r="G17" s="76"/>
      <c r="H17" s="76"/>
      <c r="I17" s="46"/>
      <c r="J17" s="46"/>
      <c r="K17" s="66"/>
      <c r="L17" s="66"/>
      <c r="M17" s="66"/>
      <c r="N17" s="30"/>
      <c r="O17" s="66"/>
    </row>
    <row r="18" spans="1:15" ht="15.75" hidden="1" customHeight="1" thickBot="1"/>
    <row r="19" spans="1:15" ht="15.75" hidden="1" customHeight="1" thickBot="1"/>
  </sheetData>
  <mergeCells count="16">
    <mergeCell ref="K2:O2"/>
    <mergeCell ref="O3:O5"/>
    <mergeCell ref="K3:K5"/>
    <mergeCell ref="M3:M5"/>
    <mergeCell ref="N3:N5"/>
    <mergeCell ref="L3:L5"/>
    <mergeCell ref="C2:J2"/>
    <mergeCell ref="J3:J5"/>
    <mergeCell ref="A3:A5"/>
    <mergeCell ref="B3:B5"/>
    <mergeCell ref="C3:C5"/>
    <mergeCell ref="D3:D5"/>
    <mergeCell ref="E3:E5"/>
    <mergeCell ref="G3:G5"/>
    <mergeCell ref="H3:H5"/>
    <mergeCell ref="I3:I5"/>
  </mergeCells>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FF88-B6FB-44E9-8285-31C42DDCA028}">
  <dimension ref="A2:R32"/>
  <sheetViews>
    <sheetView topLeftCell="F4" workbookViewId="0">
      <selection activeCell="R4" sqref="R4"/>
    </sheetView>
  </sheetViews>
  <sheetFormatPr defaultRowHeight="14.5"/>
  <cols>
    <col min="2" max="2" width="11" customWidth="1"/>
    <col min="9" max="9" width="21.54296875" customWidth="1"/>
    <col min="16" max="16" width="61.90625" customWidth="1"/>
    <col min="17" max="17" width="57.36328125" customWidth="1"/>
  </cols>
  <sheetData>
    <row r="2" spans="1:18">
      <c r="B2" t="s">
        <v>167</v>
      </c>
      <c r="C2" t="s">
        <v>168</v>
      </c>
    </row>
    <row r="3" spans="1:18">
      <c r="B3" t="s">
        <v>169</v>
      </c>
      <c r="C3" t="s">
        <v>170</v>
      </c>
    </row>
    <row r="4" spans="1:18">
      <c r="B4" s="12" t="s">
        <v>171</v>
      </c>
      <c r="C4" s="110">
        <v>2021</v>
      </c>
      <c r="D4" t="s">
        <v>39</v>
      </c>
      <c r="F4" t="s">
        <v>141</v>
      </c>
      <c r="I4" t="s">
        <v>172</v>
      </c>
      <c r="L4" t="s">
        <v>53</v>
      </c>
      <c r="N4" t="s">
        <v>65</v>
      </c>
      <c r="P4" t="s">
        <v>173</v>
      </c>
      <c r="Q4" t="s">
        <v>174</v>
      </c>
      <c r="R4" t="str">
        <f>Q4&amp;" "&amp;"("&amp;P4&amp;")"</f>
        <v>Podmiot publiczny - odbiorca energii - przemysł (Public entity - energy consumer - industry)</v>
      </c>
    </row>
    <row r="5" spans="1:18">
      <c r="A5" s="14"/>
      <c r="B5" s="17" t="s">
        <v>175</v>
      </c>
      <c r="C5" s="110">
        <v>2022</v>
      </c>
      <c r="D5" t="s">
        <v>116</v>
      </c>
      <c r="F5" t="s">
        <v>71</v>
      </c>
      <c r="I5" t="s">
        <v>176</v>
      </c>
      <c r="L5" t="s">
        <v>59</v>
      </c>
      <c r="N5" t="s">
        <v>177</v>
      </c>
      <c r="P5" t="s">
        <v>178</v>
      </c>
      <c r="Q5" t="s">
        <v>179</v>
      </c>
      <c r="R5" t="str">
        <f t="shared" ref="R5:R28" si="0">Q5&amp;" "&amp;"("&amp;P5&amp;")"</f>
        <v>Podmiot publiczny - odbiorca energii - usługi (Public entity - energy consumer - services)</v>
      </c>
    </row>
    <row r="6" spans="1:18">
      <c r="A6" s="14"/>
      <c r="B6" s="17" t="s">
        <v>180</v>
      </c>
      <c r="C6" s="110">
        <v>2023</v>
      </c>
      <c r="F6" t="s">
        <v>42</v>
      </c>
      <c r="I6" t="s">
        <v>181</v>
      </c>
      <c r="L6" t="s">
        <v>43</v>
      </c>
      <c r="N6" t="s">
        <v>182</v>
      </c>
      <c r="P6" t="s">
        <v>183</v>
      </c>
      <c r="Q6" t="s">
        <v>184</v>
      </c>
      <c r="R6" t="str">
        <f t="shared" si="0"/>
        <v>Podmiot publiczny - odbiorca energii - budynki (Public entity - energy consumer - buildings)</v>
      </c>
    </row>
    <row r="7" spans="1:18">
      <c r="A7" s="14"/>
      <c r="B7" s="17" t="s">
        <v>185</v>
      </c>
      <c r="C7" s="110">
        <v>2024</v>
      </c>
      <c r="F7" t="s">
        <v>186</v>
      </c>
      <c r="I7" t="s">
        <v>41</v>
      </c>
      <c r="L7" t="s">
        <v>99</v>
      </c>
      <c r="N7" t="s">
        <v>130</v>
      </c>
      <c r="P7" t="s">
        <v>187</v>
      </c>
      <c r="Q7" t="s">
        <v>188</v>
      </c>
      <c r="R7" t="str">
        <f t="shared" si="0"/>
        <v>Podmiot publiczny - odbiorca energii - inne (Public entity - energy consumer - other)</v>
      </c>
    </row>
    <row r="8" spans="1:18">
      <c r="A8" s="14"/>
      <c r="B8" s="17" t="s">
        <v>189</v>
      </c>
      <c r="C8" s="110">
        <v>2025</v>
      </c>
      <c r="F8" t="s">
        <v>190</v>
      </c>
      <c r="L8" t="s">
        <v>191</v>
      </c>
      <c r="N8" t="s">
        <v>44</v>
      </c>
      <c r="P8" t="s">
        <v>192</v>
      </c>
      <c r="Q8" t="s">
        <v>193</v>
      </c>
      <c r="R8" t="str">
        <f t="shared" si="0"/>
        <v>Podmiot publiczny - producent energii (Public entity - energy producer)</v>
      </c>
    </row>
    <row r="9" spans="1:18">
      <c r="A9" s="14"/>
      <c r="B9" s="17" t="s">
        <v>194</v>
      </c>
      <c r="C9" s="110">
        <v>2026</v>
      </c>
      <c r="F9" t="s">
        <v>195</v>
      </c>
      <c r="L9" t="s">
        <v>196</v>
      </c>
      <c r="N9" t="s">
        <v>197</v>
      </c>
      <c r="P9" t="s">
        <v>198</v>
      </c>
      <c r="Q9" t="s">
        <v>199</v>
      </c>
      <c r="R9" t="str">
        <f t="shared" si="0"/>
        <v>Podmiot publiczny - dystrybucja i sieci (Public entity - distribution and networks)</v>
      </c>
    </row>
    <row r="10" spans="1:18">
      <c r="A10" s="14"/>
      <c r="B10" s="17" t="s">
        <v>200</v>
      </c>
      <c r="C10" s="110">
        <v>2027</v>
      </c>
      <c r="L10" t="s">
        <v>64</v>
      </c>
      <c r="N10" t="s">
        <v>201</v>
      </c>
      <c r="P10" t="s">
        <v>202</v>
      </c>
      <c r="Q10" t="s">
        <v>203</v>
      </c>
      <c r="R10" t="str">
        <f t="shared" si="0"/>
        <v>Podmiot prywatny - odbiorca energii - przemysł (Private entity - energy consumer - industry)</v>
      </c>
    </row>
    <row r="11" spans="1:18">
      <c r="A11" s="14"/>
      <c r="B11" s="17" t="s">
        <v>204</v>
      </c>
      <c r="C11" s="110">
        <v>2028</v>
      </c>
      <c r="L11" t="s">
        <v>201</v>
      </c>
      <c r="P11" t="s">
        <v>205</v>
      </c>
      <c r="Q11" t="s">
        <v>206</v>
      </c>
      <c r="R11" t="str">
        <f t="shared" si="0"/>
        <v>Podmiot prywatny - odbiorca energii - usługi (Private entity - energy consumer - services)</v>
      </c>
    </row>
    <row r="12" spans="1:18">
      <c r="A12" s="14"/>
      <c r="B12" s="17" t="s">
        <v>207</v>
      </c>
      <c r="C12" s="110">
        <v>2029</v>
      </c>
      <c r="F12" s="125" t="s">
        <v>208</v>
      </c>
      <c r="P12" t="s">
        <v>209</v>
      </c>
      <c r="Q12" t="s">
        <v>210</v>
      </c>
      <c r="R12" t="str">
        <f t="shared" si="0"/>
        <v>Podmiot prywatny - odbiorca energii - budynki (Private entity - energy consumer - buildings)</v>
      </c>
    </row>
    <row r="13" spans="1:18">
      <c r="A13" s="14"/>
      <c r="B13" s="17" t="s">
        <v>24</v>
      </c>
      <c r="C13" s="110">
        <v>2030</v>
      </c>
      <c r="F13" t="s">
        <v>211</v>
      </c>
      <c r="P13" t="s">
        <v>212</v>
      </c>
      <c r="Q13" t="s">
        <v>213</v>
      </c>
      <c r="R13" t="str">
        <f t="shared" si="0"/>
        <v>Podmiot prywatny - odbiorca energii - inne (Private entity - energy consumer - other)</v>
      </c>
    </row>
    <row r="14" spans="1:18">
      <c r="A14" s="14"/>
      <c r="B14" s="17" t="s">
        <v>214</v>
      </c>
      <c r="C14" s="110"/>
      <c r="F14" t="s">
        <v>215</v>
      </c>
      <c r="P14" t="s">
        <v>216</v>
      </c>
      <c r="Q14" t="s">
        <v>217</v>
      </c>
      <c r="R14" t="str">
        <f t="shared" si="0"/>
        <v>Podmiot prywatny - producent energii (Private entity - energy producer)</v>
      </c>
    </row>
    <row r="15" spans="1:18">
      <c r="A15" s="14"/>
      <c r="B15" s="17" t="s">
        <v>218</v>
      </c>
      <c r="C15" s="110"/>
      <c r="F15" t="s">
        <v>219</v>
      </c>
      <c r="I15" s="14"/>
      <c r="J15" s="15"/>
      <c r="K15" s="15"/>
      <c r="L15" s="15"/>
      <c r="M15" s="15"/>
      <c r="N15" s="15"/>
      <c r="O15" s="16"/>
      <c r="P15" t="s">
        <v>220</v>
      </c>
      <c r="Q15" t="s">
        <v>221</v>
      </c>
      <c r="R15" t="str">
        <f t="shared" si="0"/>
        <v>Podmiot prywatny - dystrybucja i sieci (Private entity - distribution and networks)</v>
      </c>
    </row>
    <row r="16" spans="1:18">
      <c r="A16" s="14"/>
      <c r="B16" s="17" t="s">
        <v>222</v>
      </c>
      <c r="C16" s="110"/>
      <c r="F16" t="s">
        <v>223</v>
      </c>
      <c r="I16" s="14"/>
      <c r="J16" s="15"/>
      <c r="K16" s="15"/>
      <c r="L16" s="15"/>
      <c r="M16" s="15"/>
      <c r="N16" s="15"/>
      <c r="O16" s="16"/>
      <c r="P16" t="s">
        <v>224</v>
      </c>
      <c r="Q16" t="s">
        <v>225</v>
      </c>
      <c r="R16" t="str">
        <f t="shared" si="0"/>
        <v>Partnerstwa publiczno-prywatne - odbiorca energii - przemysł (Public-private partnerships - energy consumer - industry)</v>
      </c>
    </row>
    <row r="17" spans="1:18">
      <c r="A17" s="14"/>
      <c r="B17" s="17" t="s">
        <v>226</v>
      </c>
      <c r="C17" s="110"/>
      <c r="F17" t="s">
        <v>227</v>
      </c>
      <c r="I17" s="14"/>
      <c r="J17" s="15"/>
      <c r="K17" s="15"/>
      <c r="L17" s="15"/>
      <c r="M17" s="15"/>
      <c r="N17" s="15"/>
      <c r="O17" s="16"/>
      <c r="P17" t="s">
        <v>228</v>
      </c>
      <c r="Q17" t="s">
        <v>229</v>
      </c>
      <c r="R17" t="str">
        <f t="shared" si="0"/>
        <v>Partnerstwa publiczno-prywatne - odbiorca energii - budynki lub budynki mieszkalne (Public-private partnerships - energy consumer - buildings or residential)</v>
      </c>
    </row>
    <row r="18" spans="1:18">
      <c r="I18" s="14"/>
      <c r="J18" s="15"/>
      <c r="K18" s="15"/>
      <c r="L18" s="15"/>
      <c r="M18" s="15"/>
      <c r="N18" s="15"/>
      <c r="O18" s="16"/>
      <c r="P18" t="s">
        <v>230</v>
      </c>
      <c r="Q18" t="s">
        <v>231</v>
      </c>
      <c r="R18" t="str">
        <f t="shared" si="0"/>
        <v>Partnerstwa publiczno-prywatne - odbiorca energii - usługi (Public-private partnerships - energy consumer - services)</v>
      </c>
    </row>
    <row r="19" spans="1:18">
      <c r="I19" s="14"/>
      <c r="J19" s="15"/>
      <c r="K19" s="15"/>
      <c r="L19" s="15"/>
      <c r="M19" s="15"/>
      <c r="N19" s="15"/>
      <c r="O19" s="16"/>
      <c r="P19" t="s">
        <v>232</v>
      </c>
      <c r="Q19" t="s">
        <v>233</v>
      </c>
      <c r="R19" t="str">
        <f t="shared" si="0"/>
        <v>Partnerstwa publiczno-prywatne - odbiorca energii - inne (Public-private partnerships - energy consumer - other)</v>
      </c>
    </row>
    <row r="20" spans="1:18">
      <c r="I20" s="14"/>
      <c r="J20" s="15"/>
      <c r="K20" s="15"/>
      <c r="L20" s="15"/>
      <c r="M20" s="15"/>
      <c r="N20" s="15"/>
      <c r="O20" s="16"/>
      <c r="P20" t="s">
        <v>234</v>
      </c>
      <c r="Q20" t="s">
        <v>235</v>
      </c>
      <c r="R20" t="str">
        <f t="shared" si="0"/>
        <v>Partnerstwa publiczno-prywatne - producent energii (Public-private partnerships - energy producer)</v>
      </c>
    </row>
    <row r="21" spans="1:18">
      <c r="I21" s="14"/>
      <c r="J21" s="15"/>
      <c r="K21" s="15"/>
      <c r="L21" s="15"/>
      <c r="M21" s="15"/>
      <c r="N21" s="15"/>
      <c r="O21" s="16"/>
      <c r="P21" t="s">
        <v>236</v>
      </c>
      <c r="Q21" t="s">
        <v>237</v>
      </c>
      <c r="R21" t="str">
        <f t="shared" si="0"/>
        <v>Partnerstwa publiczno-prywatne - dystrybucja i sieci (Public-private partnerships - distribution and networks)</v>
      </c>
    </row>
    <row r="22" spans="1:18">
      <c r="I22" s="14"/>
      <c r="J22" s="15"/>
      <c r="K22" s="15"/>
      <c r="L22" s="15"/>
      <c r="M22" s="15"/>
      <c r="N22" s="15"/>
      <c r="O22" s="16"/>
      <c r="P22" t="s">
        <v>238</v>
      </c>
      <c r="Q22" t="s">
        <v>239</v>
      </c>
      <c r="R22" t="str">
        <f t="shared" si="0"/>
        <v>Podmioty mieszane lub publiczno-prywatne - odbiorcy energii - przemysł (Mix or public and private entities - energy consumers - industry)</v>
      </c>
    </row>
    <row r="23" spans="1:18">
      <c r="I23" s="14"/>
      <c r="J23" s="15"/>
      <c r="K23" s="15"/>
      <c r="L23" s="15"/>
      <c r="M23" s="15"/>
      <c r="N23" s="15"/>
      <c r="O23" s="16"/>
      <c r="P23" t="s">
        <v>240</v>
      </c>
      <c r="Q23" t="s">
        <v>241</v>
      </c>
      <c r="R23" t="str">
        <f t="shared" si="0"/>
        <v>Podmioty mieszane lub publiczno-prywatne - odbiorcy energii - usługi (Mix or public and private entities - energy consumers - services)</v>
      </c>
    </row>
    <row r="24" spans="1:18">
      <c r="I24" s="14"/>
      <c r="J24" s="15"/>
      <c r="K24" s="15"/>
      <c r="L24" s="15"/>
      <c r="M24" s="15"/>
      <c r="N24" s="15"/>
      <c r="O24" s="16"/>
      <c r="P24" t="s">
        <v>242</v>
      </c>
      <c r="Q24" t="s">
        <v>243</v>
      </c>
      <c r="R24" t="str">
        <f t="shared" si="0"/>
        <v>Podmioty mieszane lub publiczno-prywatne - odbiorcy energii - budynki (Mix or public and private entities - energy consumers - buildings)</v>
      </c>
    </row>
    <row r="25" spans="1:18">
      <c r="I25" s="14"/>
      <c r="J25" s="15"/>
      <c r="K25" s="15"/>
      <c r="L25" s="15"/>
      <c r="M25" s="15"/>
      <c r="N25" s="15"/>
      <c r="O25" s="16"/>
      <c r="P25" t="s">
        <v>244</v>
      </c>
      <c r="Q25" t="s">
        <v>245</v>
      </c>
      <c r="R25" t="str">
        <f t="shared" si="0"/>
        <v>Podmioty mieszane lub Podmioty publiczne i prywatne – odbiorcy energii – inne (Mix or public and private entities - energy consumers - other)</v>
      </c>
    </row>
    <row r="26" spans="1:18">
      <c r="I26" s="14"/>
      <c r="J26" s="15"/>
      <c r="K26" s="15"/>
      <c r="L26" s="15"/>
      <c r="M26" s="15"/>
      <c r="N26" s="15"/>
      <c r="O26" s="16"/>
      <c r="P26" t="s">
        <v>246</v>
      </c>
      <c r="Q26" t="s">
        <v>247</v>
      </c>
      <c r="R26" t="str">
        <f t="shared" si="0"/>
        <v>Podmioty mieszane – producenci energii (Mix or public and private entities - energy producers)</v>
      </c>
    </row>
    <row r="27" spans="1:18">
      <c r="I27" s="14"/>
      <c r="J27" s="15"/>
      <c r="K27" s="15"/>
      <c r="L27" s="15"/>
      <c r="M27" s="15"/>
      <c r="N27" s="15"/>
      <c r="O27" s="16"/>
      <c r="P27" t="s">
        <v>248</v>
      </c>
      <c r="Q27" t="s">
        <v>249</v>
      </c>
      <c r="R27" t="str">
        <f t="shared" si="0"/>
        <v>Podmioty mieszane – dystrybucja i sieci (Mix or public and private entities - distribution and networks)</v>
      </c>
    </row>
    <row r="28" spans="1:18">
      <c r="I28" s="14"/>
      <c r="J28" s="15"/>
      <c r="K28" s="15"/>
      <c r="L28" s="15"/>
      <c r="M28" s="15"/>
      <c r="N28" s="15"/>
      <c r="O28" s="16"/>
      <c r="P28" t="s">
        <v>201</v>
      </c>
      <c r="Q28" t="s">
        <v>250</v>
      </c>
      <c r="R28" t="str">
        <f t="shared" si="0"/>
        <v>Inne (Other)</v>
      </c>
    </row>
    <row r="29" spans="1:18">
      <c r="I29" s="14"/>
      <c r="J29" s="15"/>
      <c r="K29" s="15"/>
      <c r="L29" s="15"/>
      <c r="M29" s="15"/>
      <c r="N29" s="15"/>
      <c r="O29" s="16"/>
    </row>
    <row r="30" spans="1:18">
      <c r="I30" s="14"/>
      <c r="J30" s="15"/>
      <c r="K30" s="15"/>
      <c r="L30" s="15"/>
      <c r="M30" s="15"/>
      <c r="N30" s="15"/>
      <c r="O30" s="16"/>
    </row>
    <row r="31" spans="1:18">
      <c r="I31" s="14"/>
      <c r="J31" s="15"/>
      <c r="K31" s="15"/>
      <c r="L31" s="15"/>
      <c r="M31" s="15"/>
      <c r="N31" s="15"/>
      <c r="O31" s="16"/>
    </row>
    <row r="32" spans="1:18">
      <c r="I32" s="14"/>
    </row>
  </sheetData>
  <phoneticPr fontId="16" type="noConversion"/>
  <dataValidations count="1">
    <dataValidation type="list" allowBlank="1" showInputMessage="1" showErrorMessage="1" sqref="B4" xr:uid="{9B02B2BC-CA52-47AA-8345-717362EDA896}">
      <formula1>$B$4:$B$17</formula1>
    </dataValidation>
  </dataValidation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e70c616-2388-4b2b-acbc-3fc015cadcd4" xsi:nil="true"/>
    <lcf76f155ced4ddcb4097134ff3c332f xmlns="5f6e308b-c1fa-409d-8633-4b8824628b6a">
      <Terms xmlns="http://schemas.microsoft.com/office/infopath/2007/PartnerControls"/>
    </lcf76f155ced4ddcb4097134ff3c332f>
    <MediaLengthInSeconds xmlns="5f6e308b-c1fa-409d-8633-4b8824628b6a" xsi:nil="true"/>
    <Date xmlns="5f6e308b-c1fa-409d-8633-4b8824628b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85F69E1628A2E45B60213B67CDFD033" ma:contentTypeVersion="15" ma:contentTypeDescription="Create a new document." ma:contentTypeScope="" ma:versionID="72a2d8d42ce9e29e5eaf02e6e61e3e72">
  <xsd:schema xmlns:xsd="http://www.w3.org/2001/XMLSchema" xmlns:xs="http://www.w3.org/2001/XMLSchema" xmlns:p="http://schemas.microsoft.com/office/2006/metadata/properties" xmlns:ns2="5f6e308b-c1fa-409d-8633-4b8824628b6a" xmlns:ns3="8e70c616-2388-4b2b-acbc-3fc015cadcd4" targetNamespace="http://schemas.microsoft.com/office/2006/metadata/properties" ma:root="true" ma:fieldsID="0f34bd448276dfb067baff04e4b52778" ns2:_="" ns3:_="">
    <xsd:import namespace="5f6e308b-c1fa-409d-8633-4b8824628b6a"/>
    <xsd:import namespace="8e70c616-2388-4b2b-acbc-3fc015cadc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Date"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6e308b-c1fa-409d-8633-4b8824628b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Date" ma:index="20" nillable="true" ma:displayName="Date" ma:format="Dropdown" ma:internalName="Date">
      <xsd:simpleType>
        <xsd:restriction base="dms:Lookup"/>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70c616-2388-4b2b-acbc-3fc015cadcd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49eea1-19b7-4bc3-adb7-c284a758f3ce}" ma:internalName="TaxCatchAll" ma:showField="CatchAllData" ma:web="8e70c616-2388-4b2b-acbc-3fc015cadc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0E01F4-5DFF-4500-800F-F577EFA5000F}">
  <ds:schemaRefs>
    <ds:schemaRef ds:uri="http://schemas.microsoft.com/office/2006/metadata/properties"/>
    <ds:schemaRef ds:uri="http://schemas.microsoft.com/office/infopath/2007/PartnerControls"/>
    <ds:schemaRef ds:uri="8e70c616-2388-4b2b-acbc-3fc015cadcd4"/>
    <ds:schemaRef ds:uri="5f6e308b-c1fa-409d-8633-4b8824628b6a"/>
  </ds:schemaRefs>
</ds:datastoreItem>
</file>

<file path=customXml/itemProps2.xml><?xml version="1.0" encoding="utf-8"?>
<ds:datastoreItem xmlns:ds="http://schemas.openxmlformats.org/officeDocument/2006/customXml" ds:itemID="{BF1D399C-3F1E-4DDE-B47D-2F726C6597AB}">
  <ds:schemaRefs>
    <ds:schemaRef ds:uri="http://schemas.microsoft.com/sharepoint/v3/contenttype/forms"/>
  </ds:schemaRefs>
</ds:datastoreItem>
</file>

<file path=customXml/itemProps3.xml><?xml version="1.0" encoding="utf-8"?>
<ds:datastoreItem xmlns:ds="http://schemas.openxmlformats.org/officeDocument/2006/customXml" ds:itemID="{28284231-9ACC-4E00-8AE4-4FC8797D71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6e308b-c1fa-409d-8633-4b8824628b6a"/>
    <ds:schemaRef ds:uri="8e70c616-2388-4b2b-acbc-3fc015cadc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Introduction</vt:lpstr>
      <vt:lpstr>Annual Report</vt:lpstr>
      <vt:lpstr>Overview Planned Investments</vt:lpstr>
      <vt:lpstr>Dropdown Menu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Jakub</dc:creator>
  <cp:keywords/>
  <dc:description/>
  <cp:lastModifiedBy>Konieczna Anna</cp:lastModifiedBy>
  <cp:revision/>
  <dcterms:created xsi:type="dcterms:W3CDTF">2022-04-08T06:50:01Z</dcterms:created>
  <dcterms:modified xsi:type="dcterms:W3CDTF">2026-05-19T12:32:48Z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2023-07-26T10:02:37Z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86dcd4de-2c5d-4c35-b72d-b24875a03717</vt:lpwstr>
  </property>
  <property fmtid="{D5CDD505-2E9C-101B-9397-08002B2CF9AE}" pid="8" name="MSIP_Label_6bd9ddd1-4d20-43f6-abfa-fc3c07406f94_ContentBits">
    <vt:lpwstr>0</vt:lpwstr>
  </property>
  <property fmtid="{D5CDD505-2E9C-101B-9397-08002B2CF9AE}" pid="9" name="ContentTypeId">
    <vt:lpwstr>0x010100785F69E1628A2E45B60213B67CDFD033</vt:lpwstr>
  </property>
  <property fmtid="{D5CDD505-2E9C-101B-9397-08002B2CF9AE}" pid="10" name="MediaServiceImageTags">
    <vt:lpwstr/>
  </property>
  <property fmtid="{D5CDD505-2E9C-101B-9397-08002B2CF9AE}" pid="11" name="Order">
    <vt:r8>5145500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