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53664BC5-57FA-44BD-A4F3-D2B48C9CD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I75" i="4" s="1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J68" i="4" s="1"/>
  <c r="C68" i="4"/>
  <c r="I67" i="4"/>
  <c r="H67" i="4"/>
  <c r="G67" i="4"/>
  <c r="F67" i="4"/>
  <c r="E67" i="4"/>
  <c r="D67" i="4"/>
  <c r="C67" i="4"/>
  <c r="K67" i="4" s="1"/>
  <c r="I66" i="4"/>
  <c r="H66" i="4"/>
  <c r="G66" i="4"/>
  <c r="F66" i="4"/>
  <c r="E66" i="4"/>
  <c r="E69" i="4" s="1"/>
  <c r="D66" i="4"/>
  <c r="J73" i="4" s="1"/>
  <c r="C66" i="4"/>
  <c r="I56" i="4"/>
  <c r="H56" i="4"/>
  <c r="G56" i="4"/>
  <c r="F56" i="4"/>
  <c r="E56" i="4"/>
  <c r="D56" i="4"/>
  <c r="C56" i="4"/>
  <c r="K56" i="4" s="1"/>
  <c r="D53" i="4"/>
  <c r="K53" i="4" s="1"/>
  <c r="C53" i="4"/>
  <c r="D52" i="4"/>
  <c r="C52" i="4"/>
  <c r="D51" i="4"/>
  <c r="K51" i="4" s="1"/>
  <c r="C51" i="4"/>
  <c r="D50" i="4"/>
  <c r="K50" i="4" s="1"/>
  <c r="C50" i="4"/>
  <c r="D49" i="4"/>
  <c r="C49" i="4"/>
  <c r="D48" i="4"/>
  <c r="C48" i="4"/>
  <c r="D47" i="4"/>
  <c r="C47" i="4"/>
  <c r="D45" i="4"/>
  <c r="C45" i="4"/>
  <c r="K45" i="4" s="1"/>
  <c r="D44" i="4"/>
  <c r="C44" i="4"/>
  <c r="D43" i="4"/>
  <c r="C43" i="4"/>
  <c r="K43" i="4" s="1"/>
  <c r="D42" i="4"/>
  <c r="C42" i="4"/>
  <c r="D41" i="4"/>
  <c r="C41" i="4"/>
  <c r="K41" i="4" s="1"/>
  <c r="D40" i="4"/>
  <c r="J40" i="4" s="1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C23" i="4" s="1"/>
  <c r="C22" i="4" s="1"/>
  <c r="D29" i="4"/>
  <c r="J29" i="4" s="1"/>
  <c r="C29" i="4"/>
  <c r="D28" i="4"/>
  <c r="C28" i="4"/>
  <c r="D27" i="4"/>
  <c r="C27" i="4"/>
  <c r="D26" i="4"/>
  <c r="J26" i="4" s="1"/>
  <c r="C26" i="4"/>
  <c r="D25" i="4"/>
  <c r="C25" i="4"/>
  <c r="D24" i="4"/>
  <c r="C24" i="4"/>
  <c r="I20" i="4"/>
  <c r="H20" i="4"/>
  <c r="G20" i="4"/>
  <c r="F20" i="4"/>
  <c r="E20" i="4"/>
  <c r="D20" i="4"/>
  <c r="K20" i="4" s="1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J16" i="4" s="1"/>
  <c r="C16" i="4"/>
  <c r="I15" i="4"/>
  <c r="H15" i="4"/>
  <c r="G15" i="4"/>
  <c r="F15" i="4"/>
  <c r="E15" i="4"/>
  <c r="D15" i="4"/>
  <c r="C15" i="4"/>
  <c r="I14" i="4"/>
  <c r="H14" i="4"/>
  <c r="G14" i="4"/>
  <c r="F14" i="4"/>
  <c r="F21" i="4" s="1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19" i="4"/>
  <c r="H69" i="4"/>
  <c r="H75" i="4"/>
  <c r="K34" i="4"/>
  <c r="K70" i="4"/>
  <c r="K10" i="4"/>
  <c r="K29" i="4"/>
  <c r="C76" i="4"/>
  <c r="K6" i="4"/>
  <c r="C55" i="4"/>
  <c r="C57" i="4" s="1"/>
  <c r="J100" i="4"/>
  <c r="J101" i="4"/>
  <c r="J98" i="4"/>
  <c r="J99" i="4"/>
  <c r="J103" i="4"/>
  <c r="J102" i="4"/>
  <c r="J18" i="4"/>
  <c r="J34" i="4"/>
  <c r="J42" i="4"/>
  <c r="J15" i="4"/>
  <c r="J51" i="4"/>
  <c r="D76" i="4"/>
  <c r="J48" i="4"/>
  <c r="J35" i="4"/>
  <c r="J31" i="4"/>
  <c r="J28" i="4"/>
  <c r="J32" i="4"/>
  <c r="J43" i="4"/>
  <c r="J17" i="4"/>
  <c r="J39" i="4"/>
  <c r="J53" i="4"/>
  <c r="J37" i="4"/>
  <c r="J11" i="4"/>
  <c r="J49" i="4"/>
  <c r="J14" i="4"/>
  <c r="J8" i="4"/>
  <c r="J10" i="4"/>
  <c r="D55" i="4"/>
  <c r="J38" i="4"/>
  <c r="J27" i="4"/>
  <c r="J19" i="4"/>
  <c r="J45" i="4"/>
  <c r="J30" i="4"/>
  <c r="J24" i="4"/>
  <c r="J9" i="4"/>
  <c r="J50" i="4"/>
  <c r="J25" i="4"/>
  <c r="J52" i="4"/>
  <c r="J41" i="4"/>
  <c r="J36" i="4"/>
  <c r="J6" i="4"/>
  <c r="J33" i="4"/>
  <c r="J47" i="4"/>
  <c r="J44" i="4"/>
  <c r="J13" i="4"/>
  <c r="G7" i="4"/>
  <c r="G55" i="4"/>
  <c r="G57" i="4"/>
  <c r="K48" i="4"/>
  <c r="K102" i="4"/>
  <c r="K37" i="4"/>
  <c r="K90" i="4"/>
  <c r="K40" i="4"/>
  <c r="G69" i="4"/>
  <c r="G75" i="4"/>
  <c r="H7" i="4"/>
  <c r="H55" i="4"/>
  <c r="H57" i="4"/>
  <c r="K95" i="4"/>
  <c r="K81" i="4"/>
  <c r="K31" i="4"/>
  <c r="K101" i="4"/>
  <c r="K89" i="4"/>
  <c r="K11" i="4"/>
  <c r="K14" i="4"/>
  <c r="K12" i="4"/>
  <c r="K28" i="4"/>
  <c r="K71" i="4"/>
  <c r="J80" i="4"/>
  <c r="J81" i="4"/>
  <c r="D82" i="4"/>
  <c r="J82" i="4"/>
  <c r="F69" i="4"/>
  <c r="F75" i="4" s="1"/>
  <c r="I82" i="4"/>
  <c r="K96" i="4"/>
  <c r="I69" i="4"/>
  <c r="K73" i="4"/>
  <c r="K91" i="4"/>
  <c r="K97" i="4"/>
  <c r="K103" i="4"/>
  <c r="E7" i="4"/>
  <c r="E55" i="4"/>
  <c r="E57" i="4"/>
  <c r="K9" i="4"/>
  <c r="K36" i="4"/>
  <c r="K49" i="4"/>
  <c r="F55" i="4"/>
  <c r="F57" i="4"/>
  <c r="F7" i="4"/>
  <c r="K16" i="4"/>
  <c r="K80" i="4"/>
  <c r="C82" i="4"/>
  <c r="K82" i="4"/>
  <c r="K92" i="4"/>
  <c r="K98" i="4"/>
  <c r="K99" i="4"/>
  <c r="D118" i="4"/>
  <c r="K32" i="4"/>
  <c r="K8" i="4"/>
  <c r="K66" i="4"/>
  <c r="C69" i="4"/>
  <c r="C75" i="4" s="1"/>
  <c r="G82" i="4"/>
  <c r="K88" i="4"/>
  <c r="K94" i="4"/>
  <c r="K100" i="4"/>
  <c r="K18" i="4"/>
  <c r="E82" i="4"/>
  <c r="K87" i="4"/>
  <c r="K93" i="4"/>
  <c r="I55" i="4"/>
  <c r="I57" i="4"/>
  <c r="I7" i="4"/>
  <c r="I21" i="4"/>
  <c r="K13" i="4"/>
  <c r="K38" i="4"/>
  <c r="K44" i="4"/>
  <c r="K72" i="4"/>
  <c r="F82" i="4"/>
  <c r="J96" i="4"/>
  <c r="J91" i="4"/>
  <c r="J90" i="4"/>
  <c r="J97" i="4"/>
  <c r="J89" i="4"/>
  <c r="J94" i="4"/>
  <c r="J93" i="4"/>
  <c r="J95" i="4"/>
  <c r="J88" i="4"/>
  <c r="J92" i="4"/>
  <c r="J87" i="4"/>
  <c r="K15" i="4"/>
  <c r="K27" i="4"/>
  <c r="K33" i="4"/>
  <c r="K39" i="4"/>
  <c r="K52" i="4"/>
  <c r="D69" i="4"/>
  <c r="D75" i="4" s="1"/>
  <c r="J75" i="4" s="1"/>
  <c r="J66" i="4"/>
  <c r="J74" i="4"/>
  <c r="J72" i="4"/>
  <c r="J71" i="4"/>
  <c r="J70" i="4"/>
  <c r="K74" i="4"/>
  <c r="H82" i="4"/>
  <c r="K55" i="4"/>
  <c r="B83" i="4"/>
  <c r="B1" i="4"/>
  <c r="B59" i="4"/>
  <c r="J56" i="4"/>
  <c r="D57" i="4"/>
  <c r="J55" i="4"/>
  <c r="E75" i="4" l="1"/>
  <c r="K68" i="4"/>
  <c r="K69" i="4"/>
  <c r="D77" i="4"/>
  <c r="J69" i="4"/>
  <c r="J67" i="4"/>
  <c r="K75" i="4"/>
  <c r="C46" i="4"/>
  <c r="C7" i="4" s="1"/>
  <c r="C21" i="4" s="1"/>
  <c r="D46" i="4"/>
  <c r="J46" i="4" s="1"/>
  <c r="K47" i="4"/>
  <c r="K42" i="4"/>
  <c r="K35" i="4"/>
  <c r="K30" i="4"/>
  <c r="K26" i="4"/>
  <c r="D23" i="4"/>
  <c r="K23" i="4" s="1"/>
  <c r="K25" i="4"/>
  <c r="K24" i="4"/>
  <c r="E21" i="4"/>
  <c r="J20" i="4"/>
  <c r="K17" i="4"/>
  <c r="G21" i="4"/>
  <c r="J12" i="4"/>
  <c r="H21" i="4"/>
  <c r="J57" i="4"/>
  <c r="C77" i="4"/>
  <c r="K57" i="4"/>
  <c r="K46" i="4" l="1"/>
  <c r="J23" i="4"/>
  <c r="D22" i="4"/>
  <c r="D7" i="4" l="1"/>
  <c r="K22" i="4"/>
  <c r="J22" i="4"/>
  <c r="J7" i="4" l="1"/>
  <c r="D21" i="4"/>
  <c r="L21" i="4" s="1"/>
  <c r="L13" i="4"/>
  <c r="L9" i="4"/>
  <c r="L7" i="4"/>
  <c r="L16" i="4"/>
  <c r="L14" i="4"/>
  <c r="L12" i="4"/>
  <c r="L17" i="4"/>
  <c r="L15" i="4"/>
  <c r="L19" i="4"/>
  <c r="L8" i="4"/>
  <c r="L20" i="4"/>
  <c r="L18" i="4"/>
  <c r="L10" i="4"/>
  <c r="L11" i="4"/>
  <c r="K7" i="4"/>
  <c r="J21" i="4" l="1"/>
  <c r="K21" i="4"/>
</calcChain>
</file>

<file path=xl/sharedStrings.xml><?xml version="1.0" encoding="utf-8"?>
<sst xmlns="http://schemas.openxmlformats.org/spreadsheetml/2006/main" count="371" uniqueCount="116">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</sst>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0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",$D$118," ",$C$119," roku")</f>
        <v>Informacja z wykonania budżetów jednostek samorządu terytorialnego za III Kwartały 2024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19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19"/>
      <c r="C4" s="120" t="s">
        <v>78</v>
      </c>
      <c r="D4" s="121"/>
      <c r="E4" s="121"/>
      <c r="F4" s="121"/>
      <c r="G4" s="121"/>
      <c r="H4" s="121"/>
      <c r="I4" s="122"/>
      <c r="J4" s="101" t="s">
        <v>4</v>
      </c>
      <c r="K4" s="101"/>
      <c r="L4" s="101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431117416377.32</f>
        <v>431117416377.32001</v>
      </c>
      <c r="D6" s="58">
        <f>316248821693.34</f>
        <v>316248821693.34003</v>
      </c>
      <c r="E6" s="58">
        <f>5064810231.51</f>
        <v>5064810231.5100002</v>
      </c>
      <c r="F6" s="58">
        <f>802120276.88</f>
        <v>802120276.88</v>
      </c>
      <c r="G6" s="58">
        <f>88927151.78</f>
        <v>88927151.780000001</v>
      </c>
      <c r="H6" s="58">
        <f>186876704.65</f>
        <v>186876704.65000001</v>
      </c>
      <c r="I6" s="58">
        <f>5467840.31</f>
        <v>5467840.3099999996</v>
      </c>
      <c r="J6" s="59">
        <f t="shared" ref="J6:J53" si="0">IF($D$6=0,"",100*$D6/$D$6)</f>
        <v>100</v>
      </c>
      <c r="K6" s="59">
        <f t="shared" ref="K6:K51" si="1">IF(C6=0,"",100*D6/C6)</f>
        <v>73.355612573200858</v>
      </c>
      <c r="L6" s="59"/>
    </row>
    <row r="7" spans="2:13" ht="27.95" customHeight="1" x14ac:dyDescent="0.2">
      <c r="B7" s="76" t="s">
        <v>59</v>
      </c>
      <c r="C7" s="25">
        <f>C6-C22-C46</f>
        <v>209964088615.40997</v>
      </c>
      <c r="D7" s="25">
        <f>D6-D22-D46</f>
        <v>157028195562.70001</v>
      </c>
      <c r="E7" s="25">
        <f>E6</f>
        <v>5064810231.5100002</v>
      </c>
      <c r="F7" s="25">
        <f>F6</f>
        <v>802120276.88</v>
      </c>
      <c r="G7" s="25">
        <f>G6</f>
        <v>88927151.780000001</v>
      </c>
      <c r="H7" s="25">
        <f>H6</f>
        <v>186876704.65000001</v>
      </c>
      <c r="I7" s="25">
        <f>I6</f>
        <v>5467840.3099999996</v>
      </c>
      <c r="J7" s="34">
        <f t="shared" si="0"/>
        <v>49.653369369694296</v>
      </c>
      <c r="K7" s="34">
        <f t="shared" si="1"/>
        <v>74.788120482035225</v>
      </c>
      <c r="L7" s="34">
        <f t="shared" ref="L7:L21" si="2">IF($D$7=0,"",100*$D7/$D$7)</f>
        <v>100</v>
      </c>
    </row>
    <row r="8" spans="2:13" ht="23.1" customHeight="1" outlineLevel="1" x14ac:dyDescent="0.2">
      <c r="B8" s="31" t="s">
        <v>34</v>
      </c>
      <c r="C8" s="23">
        <f>26370069200.4</f>
        <v>26370069200.400002</v>
      </c>
      <c r="D8" s="23">
        <f>19777703478</f>
        <v>19777703478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6.2538425825908792</v>
      </c>
      <c r="K8" s="35">
        <f t="shared" si="1"/>
        <v>75.000574809640611</v>
      </c>
      <c r="L8" s="35">
        <f t="shared" si="2"/>
        <v>12.595001430875472</v>
      </c>
    </row>
    <row r="9" spans="2:13" ht="23.1" customHeight="1" outlineLevel="1" x14ac:dyDescent="0.2">
      <c r="B9" s="31" t="s">
        <v>19</v>
      </c>
      <c r="C9" s="23">
        <f>72391961158</f>
        <v>72391961158</v>
      </c>
      <c r="D9" s="23">
        <f>54294151077</f>
        <v>54294151077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17.16817497889302</v>
      </c>
      <c r="K9" s="35">
        <f t="shared" si="1"/>
        <v>75.000248934408077</v>
      </c>
      <c r="L9" s="35">
        <f t="shared" si="2"/>
        <v>34.576052334066851</v>
      </c>
    </row>
    <row r="10" spans="2:13" ht="12.95" customHeight="1" outlineLevel="1" x14ac:dyDescent="0.2">
      <c r="B10" s="31" t="s">
        <v>20</v>
      </c>
      <c r="C10" s="23">
        <f>2250553103.83</f>
        <v>2250553103.8299999</v>
      </c>
      <c r="D10" s="23">
        <f>1781650238.2</f>
        <v>1781650238.2</v>
      </c>
      <c r="E10" s="23">
        <f>343483089.14</f>
        <v>343483089.13999999</v>
      </c>
      <c r="F10" s="23">
        <f>2081642.89</f>
        <v>2081642.89</v>
      </c>
      <c r="G10" s="23">
        <f>2636731.83</f>
        <v>2636731.83</v>
      </c>
      <c r="H10" s="23">
        <f>2339587.24</f>
        <v>2339587.2400000002</v>
      </c>
      <c r="I10" s="24">
        <f>2370</f>
        <v>2370</v>
      </c>
      <c r="J10" s="35">
        <f t="shared" si="0"/>
        <v>0.56336976329594979</v>
      </c>
      <c r="K10" s="35">
        <f t="shared" si="1"/>
        <v>79.164994381513623</v>
      </c>
      <c r="L10" s="35">
        <f t="shared" si="2"/>
        <v>1.1346053056367207</v>
      </c>
    </row>
    <row r="11" spans="2:13" ht="12.95" customHeight="1" outlineLevel="1" x14ac:dyDescent="0.2">
      <c r="B11" s="31" t="s">
        <v>21</v>
      </c>
      <c r="C11" s="23">
        <f>34548603445.51</f>
        <v>34548603445.510002</v>
      </c>
      <c r="D11" s="23">
        <f>26713769854.74</f>
        <v>26713769854.740002</v>
      </c>
      <c r="E11" s="23">
        <f>3153083936.54</f>
        <v>3153083936.54</v>
      </c>
      <c r="F11" s="23">
        <f>717066612.21</f>
        <v>717066612.21000004</v>
      </c>
      <c r="G11" s="23">
        <f>64951649.59</f>
        <v>64951649.590000004</v>
      </c>
      <c r="H11" s="23">
        <f>146989171.65</f>
        <v>146989171.65000001</v>
      </c>
      <c r="I11" s="24">
        <f>4846990.7</f>
        <v>4846990.7</v>
      </c>
      <c r="J11" s="35">
        <f t="shared" si="0"/>
        <v>8.4470733240055491</v>
      </c>
      <c r="K11" s="35">
        <f t="shared" si="1"/>
        <v>77.322285680441212</v>
      </c>
      <c r="L11" s="35">
        <f t="shared" si="2"/>
        <v>17.012084841841936</v>
      </c>
    </row>
    <row r="12" spans="2:13" ht="12.95" customHeight="1" outlineLevel="1" x14ac:dyDescent="0.2">
      <c r="B12" s="31" t="s">
        <v>22</v>
      </c>
      <c r="C12" s="23">
        <f>506777283.95</f>
        <v>506777283.94999999</v>
      </c>
      <c r="D12" s="23">
        <f>394090602.59</f>
        <v>394090602.58999997</v>
      </c>
      <c r="E12" s="23">
        <f>6811594.94</f>
        <v>6811594.9400000004</v>
      </c>
      <c r="F12" s="23">
        <f>78867585.39</f>
        <v>78867585.390000001</v>
      </c>
      <c r="G12" s="23">
        <f>82724.06</f>
        <v>82724.06</v>
      </c>
      <c r="H12" s="23">
        <f>27281.26</f>
        <v>27281.26</v>
      </c>
      <c r="I12" s="24">
        <f>0</f>
        <v>0</v>
      </c>
      <c r="J12" s="35">
        <f t="shared" si="0"/>
        <v>0.12461409357349054</v>
      </c>
      <c r="K12" s="35">
        <f t="shared" si="1"/>
        <v>77.764062255971609</v>
      </c>
      <c r="L12" s="35">
        <f t="shared" si="2"/>
        <v>0.25096805142401513</v>
      </c>
    </row>
    <row r="13" spans="2:13" ht="12.95" customHeight="1" outlineLevel="1" x14ac:dyDescent="0.2">
      <c r="B13" s="31" t="s">
        <v>23</v>
      </c>
      <c r="C13" s="23">
        <f>1517855600.68</f>
        <v>1517855600.6800001</v>
      </c>
      <c r="D13" s="23">
        <f>1349366201.62</f>
        <v>1349366201.6199999</v>
      </c>
      <c r="E13" s="23">
        <f>1541373660.69</f>
        <v>1541373660.6900001</v>
      </c>
      <c r="F13" s="23">
        <f>4002907.89</f>
        <v>4002907.89</v>
      </c>
      <c r="G13" s="23">
        <f>2099137.3</f>
        <v>2099137.2999999998</v>
      </c>
      <c r="H13" s="23">
        <f>5572060.3</f>
        <v>5572060.2999999998</v>
      </c>
      <c r="I13" s="24">
        <f>7624</f>
        <v>7624</v>
      </c>
      <c r="J13" s="35">
        <f t="shared" si="0"/>
        <v>0.42667864955033807</v>
      </c>
      <c r="K13" s="35">
        <f t="shared" si="1"/>
        <v>88.899510665934429</v>
      </c>
      <c r="L13" s="35">
        <f t="shared" si="2"/>
        <v>0.85931459428966661</v>
      </c>
    </row>
    <row r="14" spans="2:13" ht="33" customHeight="1" outlineLevel="1" x14ac:dyDescent="0.2">
      <c r="B14" s="31" t="s">
        <v>43</v>
      </c>
      <c r="C14" s="23">
        <f>181875654.68</f>
        <v>181875654.68000001</v>
      </c>
      <c r="D14" s="23">
        <f>139696039.98</f>
        <v>139696039.97999999</v>
      </c>
      <c r="E14" s="23">
        <f>0</f>
        <v>0</v>
      </c>
      <c r="F14" s="23">
        <f>0</f>
        <v>0</v>
      </c>
      <c r="G14" s="23">
        <f>67416.15</f>
        <v>67416.149999999994</v>
      </c>
      <c r="H14" s="23">
        <f>275343.2</f>
        <v>275343.2</v>
      </c>
      <c r="I14" s="24">
        <f>0</f>
        <v>0</v>
      </c>
      <c r="J14" s="35">
        <f t="shared" si="0"/>
        <v>4.4172825445484301E-2</v>
      </c>
      <c r="K14" s="35">
        <f t="shared" si="1"/>
        <v>76.808542751797816</v>
      </c>
      <c r="L14" s="35">
        <f t="shared" si="2"/>
        <v>8.8962392696043266E-2</v>
      </c>
    </row>
    <row r="15" spans="2:13" ht="12.95" customHeight="1" outlineLevel="1" x14ac:dyDescent="0.2">
      <c r="B15" s="31" t="s">
        <v>28</v>
      </c>
      <c r="C15" s="23">
        <f>516661080.58</f>
        <v>516661080.57999998</v>
      </c>
      <c r="D15" s="23">
        <f>439541854.33</f>
        <v>439541854.32999998</v>
      </c>
      <c r="E15" s="23">
        <f>0</f>
        <v>0</v>
      </c>
      <c r="F15" s="23">
        <f>0</f>
        <v>0</v>
      </c>
      <c r="G15" s="23">
        <f>4701586.82</f>
        <v>4701586.82</v>
      </c>
      <c r="H15" s="23">
        <f>13434957.57</f>
        <v>13434957.57</v>
      </c>
      <c r="I15" s="24">
        <f>0</f>
        <v>0</v>
      </c>
      <c r="J15" s="35">
        <f t="shared" si="0"/>
        <v>0.13898608443076341</v>
      </c>
      <c r="K15" s="35">
        <f t="shared" si="1"/>
        <v>85.073536763514966</v>
      </c>
      <c r="L15" s="35">
        <f t="shared" si="2"/>
        <v>0.27991269514046901</v>
      </c>
    </row>
    <row r="16" spans="2:13" ht="23.1" customHeight="1" outlineLevel="1" x14ac:dyDescent="0.2">
      <c r="B16" s="31" t="s">
        <v>29</v>
      </c>
      <c r="C16" s="23">
        <f>3577355702.6</f>
        <v>3577355702.5999999</v>
      </c>
      <c r="D16" s="23">
        <f>2989692638.61</f>
        <v>2989692638.6100001</v>
      </c>
      <c r="E16" s="23">
        <f>0</f>
        <v>0</v>
      </c>
      <c r="F16" s="23">
        <f>0</f>
        <v>0</v>
      </c>
      <c r="G16" s="23">
        <f>136823.2</f>
        <v>136823.20000000001</v>
      </c>
      <c r="H16" s="23">
        <f>904987.49</f>
        <v>904987.49</v>
      </c>
      <c r="I16" s="24">
        <f>0</f>
        <v>0</v>
      </c>
      <c r="J16" s="35">
        <f t="shared" si="0"/>
        <v>0.9453608783747639</v>
      </c>
      <c r="K16" s="35">
        <f t="shared" si="1"/>
        <v>83.572696906743431</v>
      </c>
      <c r="L16" s="35">
        <f t="shared" si="2"/>
        <v>1.9039209028013324</v>
      </c>
    </row>
    <row r="17" spans="2:12" ht="12.95" customHeight="1" outlineLevel="1" x14ac:dyDescent="0.2">
      <c r="B17" s="31" t="s">
        <v>30</v>
      </c>
      <c r="C17" s="23">
        <f>611357748.32</f>
        <v>611357748.32000005</v>
      </c>
      <c r="D17" s="23">
        <f>500501295.92</f>
        <v>500501295.92000002</v>
      </c>
      <c r="E17" s="23">
        <f>0</f>
        <v>0</v>
      </c>
      <c r="F17" s="23">
        <f>0</f>
        <v>0</v>
      </c>
      <c r="G17" s="23">
        <f>2929.64</f>
        <v>2929.64</v>
      </c>
      <c r="H17" s="23">
        <f>958</f>
        <v>958</v>
      </c>
      <c r="I17" s="24">
        <f>0</f>
        <v>0</v>
      </c>
      <c r="J17" s="35">
        <f t="shared" si="0"/>
        <v>0.1582618690055787</v>
      </c>
      <c r="K17" s="35">
        <f t="shared" si="1"/>
        <v>81.867171438551068</v>
      </c>
      <c r="L17" s="35">
        <f t="shared" si="2"/>
        <v>0.31873339315050214</v>
      </c>
    </row>
    <row r="18" spans="2:12" ht="12.95" customHeight="1" outlineLevel="1" x14ac:dyDescent="0.2">
      <c r="B18" s="31" t="s">
        <v>31</v>
      </c>
      <c r="C18" s="23">
        <f>488089829.77</f>
        <v>488089829.76999998</v>
      </c>
      <c r="D18" s="23">
        <f>468764672.63</f>
        <v>468764672.63</v>
      </c>
      <c r="E18" s="23">
        <f>0</f>
        <v>0</v>
      </c>
      <c r="F18" s="23">
        <f>0</f>
        <v>0</v>
      </c>
      <c r="G18" s="23">
        <f>1364</f>
        <v>1364</v>
      </c>
      <c r="H18" s="23">
        <f>110219.39</f>
        <v>110219.39</v>
      </c>
      <c r="I18" s="24">
        <f>0</f>
        <v>0</v>
      </c>
      <c r="J18" s="35">
        <f t="shared" si="0"/>
        <v>0.14822653571324654</v>
      </c>
      <c r="K18" s="35">
        <f t="shared" si="1"/>
        <v>96.040655641379274</v>
      </c>
      <c r="L18" s="35">
        <f t="shared" si="2"/>
        <v>0.29852261305698202</v>
      </c>
    </row>
    <row r="19" spans="2:12" ht="12.95" customHeight="1" outlineLevel="1" x14ac:dyDescent="0.2">
      <c r="B19" s="31" t="s">
        <v>32</v>
      </c>
      <c r="C19" s="23">
        <f>132175311.86</f>
        <v>132175311.86</v>
      </c>
      <c r="D19" s="23">
        <f>95077085.98</f>
        <v>95077085.980000004</v>
      </c>
      <c r="E19" s="23">
        <f>1162493.02</f>
        <v>1162493.02</v>
      </c>
      <c r="F19" s="23">
        <f>0</f>
        <v>0</v>
      </c>
      <c r="G19" s="23">
        <f>8832.54</f>
        <v>8832.5400000000009</v>
      </c>
      <c r="H19" s="23">
        <f>74854.87</f>
        <v>74854.87</v>
      </c>
      <c r="I19" s="24">
        <f>0</f>
        <v>0</v>
      </c>
      <c r="J19" s="35">
        <f t="shared" si="0"/>
        <v>3.0064012719767316E-2</v>
      </c>
      <c r="K19" s="35">
        <f t="shared" si="1"/>
        <v>71.932560356434479</v>
      </c>
      <c r="L19" s="35">
        <f t="shared" si="2"/>
        <v>6.0547779740636791E-2</v>
      </c>
    </row>
    <row r="20" spans="2:12" ht="12.95" customHeight="1" outlineLevel="1" x14ac:dyDescent="0.2">
      <c r="B20" s="31" t="s">
        <v>24</v>
      </c>
      <c r="C20" s="23">
        <f>12199555230.07</f>
        <v>12199555230.07</v>
      </c>
      <c r="D20" s="23">
        <f>7717403550.56</f>
        <v>7717403550.5600004</v>
      </c>
      <c r="E20" s="23">
        <f>0</f>
        <v>0</v>
      </c>
      <c r="F20" s="23">
        <f>0</f>
        <v>0</v>
      </c>
      <c r="G20" s="23">
        <f>0</f>
        <v>0</v>
      </c>
      <c r="H20" s="23">
        <f>22135.28</f>
        <v>22135.279999999999</v>
      </c>
      <c r="I20" s="24">
        <f>0</f>
        <v>0</v>
      </c>
      <c r="J20" s="35">
        <f t="shared" si="0"/>
        <v>2.4402947999102453</v>
      </c>
      <c r="K20" s="35">
        <f t="shared" si="1"/>
        <v>63.259712383102332</v>
      </c>
      <c r="L20" s="35">
        <f t="shared" si="2"/>
        <v>4.9146610409074638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54671198265.160004</v>
      </c>
      <c r="D21" s="23">
        <f t="shared" ref="D21:I21" si="3">D7-D8-D9-D10-D11-D12-D13-D14-D15-D16-D17-D18-D19-D20</f>
        <v>40366786972.540009</v>
      </c>
      <c r="E21" s="23">
        <f t="shared" si="3"/>
        <v>18895457.17999981</v>
      </c>
      <c r="F21" s="23">
        <f t="shared" si="3"/>
        <v>101528.49999997066</v>
      </c>
      <c r="G21" s="23">
        <f t="shared" si="3"/>
        <v>14237956.650000002</v>
      </c>
      <c r="H21" s="23">
        <f t="shared" si="3"/>
        <v>17125148.399999991</v>
      </c>
      <c r="I21" s="24">
        <f t="shared" si="3"/>
        <v>610855.6099999994</v>
      </c>
      <c r="J21" s="35">
        <f t="shared" si="0"/>
        <v>12.764248972185216</v>
      </c>
      <c r="K21" s="35">
        <f t="shared" si="1"/>
        <v>73.835562880399337</v>
      </c>
      <c r="L21" s="35">
        <f t="shared" si="2"/>
        <v>25.706712624371907</v>
      </c>
    </row>
    <row r="22" spans="2:12" ht="27.95" customHeight="1" x14ac:dyDescent="0.2">
      <c r="B22" s="77" t="s">
        <v>103</v>
      </c>
      <c r="C22" s="58">
        <f>C23+C42+C44</f>
        <v>104421205812.09</v>
      </c>
      <c r="D22" s="58">
        <f>D23+D42+D44</f>
        <v>63141879660.639999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19.965886140713398</v>
      </c>
      <c r="K22" s="59">
        <f t="shared" si="1"/>
        <v>60.468445244988125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88527857728.470001</v>
      </c>
      <c r="D23" s="58">
        <f>D24+D26+D28+D30+D32+D34+D36+D38+D40</f>
        <v>54621880486.190002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17.271805217714206</v>
      </c>
      <c r="K23" s="59">
        <f t="shared" si="1"/>
        <v>61.700217183301326</v>
      </c>
      <c r="L23" s="61"/>
    </row>
    <row r="24" spans="2:12" ht="24.95" customHeight="1" outlineLevel="1" x14ac:dyDescent="0.2">
      <c r="B24" s="81" t="s">
        <v>9</v>
      </c>
      <c r="C24" s="24">
        <f>28488587815.83</f>
        <v>28488587815.830002</v>
      </c>
      <c r="D24" s="24">
        <f>24689351690.36</f>
        <v>24689351690.360001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7.8069387130557457</v>
      </c>
      <c r="K24" s="35">
        <f t="shared" si="1"/>
        <v>86.664006829573651</v>
      </c>
      <c r="L24" s="30"/>
    </row>
    <row r="25" spans="2:12" ht="12.95" customHeight="1" outlineLevel="1" x14ac:dyDescent="0.2">
      <c r="B25" s="83" t="s">
        <v>6</v>
      </c>
      <c r="C25" s="24">
        <f>264838545.95</f>
        <v>264838545.94999999</v>
      </c>
      <c r="D25" s="24">
        <f>108625740.53</f>
        <v>108625740.53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3.4348188223553969E-2</v>
      </c>
      <c r="K25" s="35">
        <f t="shared" si="1"/>
        <v>41.015834813754005</v>
      </c>
      <c r="L25" s="30"/>
    </row>
    <row r="26" spans="2:12" ht="12.95" customHeight="1" outlineLevel="1" x14ac:dyDescent="0.2">
      <c r="B26" s="81" t="s">
        <v>7</v>
      </c>
      <c r="C26" s="24">
        <f>11188196687.74</f>
        <v>11188196687.74</v>
      </c>
      <c r="D26" s="24">
        <f>7563449920.51</f>
        <v>7563449920.5100002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2.3916136287913576</v>
      </c>
      <c r="K26" s="35">
        <f t="shared" si="1"/>
        <v>67.602046438797515</v>
      </c>
      <c r="L26" s="30"/>
    </row>
    <row r="27" spans="2:12" ht="12.95" customHeight="1" outlineLevel="1" x14ac:dyDescent="0.2">
      <c r="B27" s="83" t="s">
        <v>6</v>
      </c>
      <c r="C27" s="24">
        <f>1491034620.62</f>
        <v>1491034620.6199999</v>
      </c>
      <c r="D27" s="24">
        <f>427456728.66</f>
        <v>427456728.66000003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0.13516468658166131</v>
      </c>
      <c r="K27" s="35">
        <f t="shared" si="1"/>
        <v>28.668464350093732</v>
      </c>
      <c r="L27" s="30"/>
    </row>
    <row r="28" spans="2:12" ht="33" customHeight="1" outlineLevel="1" x14ac:dyDescent="0.2">
      <c r="B28" s="81" t="s">
        <v>10</v>
      </c>
      <c r="C28" s="24">
        <f>414016403.04</f>
        <v>414016403.04000002</v>
      </c>
      <c r="D28" s="24">
        <f>276587513.5</f>
        <v>276587513.5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8.7458828152789519E-2</v>
      </c>
      <c r="K28" s="35">
        <f t="shared" si="1"/>
        <v>66.805931231009126</v>
      </c>
      <c r="L28" s="30"/>
    </row>
    <row r="29" spans="2:12" ht="12.95" customHeight="1" outlineLevel="1" x14ac:dyDescent="0.2">
      <c r="B29" s="83" t="s">
        <v>6</v>
      </c>
      <c r="C29" s="24">
        <f>64750891.15</f>
        <v>64750891.149999999</v>
      </c>
      <c r="D29" s="24">
        <f>12619669.26</f>
        <v>12619669.26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3.9904241199788673E-3</v>
      </c>
      <c r="K29" s="35">
        <f t="shared" si="1"/>
        <v>19.489568461329199</v>
      </c>
      <c r="L29" s="30"/>
    </row>
    <row r="30" spans="2:12" ht="27.95" customHeight="1" outlineLevel="1" x14ac:dyDescent="0.2">
      <c r="B30" s="81" t="s">
        <v>11</v>
      </c>
      <c r="C30" s="24">
        <f>2251772269.13</f>
        <v>2251772269.1300001</v>
      </c>
      <c r="D30" s="24">
        <f>1454343614.76</f>
        <v>1454343614.76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0.45987321216654115</v>
      </c>
      <c r="K30" s="35">
        <f t="shared" si="1"/>
        <v>64.586620711956073</v>
      </c>
      <c r="L30" s="30"/>
    </row>
    <row r="31" spans="2:12" ht="12.95" customHeight="1" outlineLevel="1" x14ac:dyDescent="0.2">
      <c r="B31" s="83" t="s">
        <v>6</v>
      </c>
      <c r="C31" s="24">
        <f>468686530.28</f>
        <v>468686530.27999997</v>
      </c>
      <c r="D31" s="24">
        <f>149918194.82</f>
        <v>149918194.81999999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4.7405139414360441E-2</v>
      </c>
      <c r="K31" s="35">
        <f t="shared" si="1"/>
        <v>31.986879317917829</v>
      </c>
      <c r="L31" s="30"/>
    </row>
    <row r="32" spans="2:12" ht="33.75" outlineLevel="1" x14ac:dyDescent="0.2">
      <c r="B32" s="81" t="s">
        <v>79</v>
      </c>
      <c r="C32" s="24">
        <f>2912832668.41</f>
        <v>2912832668.4099998</v>
      </c>
      <c r="D32" s="24">
        <f>1596293594.85</f>
        <v>1596293594.8499999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0.50475874860267245</v>
      </c>
      <c r="K32" s="35">
        <f t="shared" si="1"/>
        <v>54.802104225278192</v>
      </c>
      <c r="L32" s="30"/>
    </row>
    <row r="33" spans="2:12" ht="12.95" customHeight="1" outlineLevel="1" x14ac:dyDescent="0.2">
      <c r="B33" s="83" t="s">
        <v>6</v>
      </c>
      <c r="C33" s="24">
        <f>2340239304.74</f>
        <v>2340239304.7399998</v>
      </c>
      <c r="D33" s="24">
        <f>1171565092.97</f>
        <v>1171565092.97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0.37045674564000197</v>
      </c>
      <c r="K33" s="35">
        <f t="shared" si="1"/>
        <v>50.061764649327635</v>
      </c>
      <c r="L33" s="30"/>
    </row>
    <row r="34" spans="2:12" ht="12.95" customHeight="1" outlineLevel="1" x14ac:dyDescent="0.2">
      <c r="B34" s="81" t="s">
        <v>8</v>
      </c>
      <c r="C34" s="24">
        <f>1021114645.03</f>
        <v>1021114645.03</v>
      </c>
      <c r="D34" s="24">
        <f>326254951.03</f>
        <v>326254951.02999997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0.10316400525481251</v>
      </c>
      <c r="K34" s="35">
        <f t="shared" si="1"/>
        <v>31.95086395224649</v>
      </c>
      <c r="L34" s="30"/>
    </row>
    <row r="35" spans="2:12" ht="12.95" customHeight="1" outlineLevel="1" x14ac:dyDescent="0.2">
      <c r="B35" s="83" t="s">
        <v>6</v>
      </c>
      <c r="C35" s="24">
        <f>890726355.06</f>
        <v>890726355.05999994</v>
      </c>
      <c r="D35" s="24">
        <f>221212649.38</f>
        <v>221212649.38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6.9948924456232547E-2</v>
      </c>
      <c r="K35" s="35">
        <f t="shared" si="1"/>
        <v>24.835085222677503</v>
      </c>
      <c r="L35" s="30"/>
    </row>
    <row r="36" spans="2:12" ht="67.5" outlineLevel="1" x14ac:dyDescent="0.2">
      <c r="B36" s="81" t="s">
        <v>96</v>
      </c>
      <c r="C36" s="24">
        <f>14531760.64</f>
        <v>14531760.640000001</v>
      </c>
      <c r="D36" s="24">
        <f>2593819.33</f>
        <v>2593819.33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8.2018308119268608E-4</v>
      </c>
      <c r="K36" s="35">
        <f t="shared" si="1"/>
        <v>17.849312235850313</v>
      </c>
      <c r="L36" s="30"/>
    </row>
    <row r="37" spans="2:12" ht="12.95" customHeight="1" outlineLevel="1" x14ac:dyDescent="0.2">
      <c r="B37" s="83" t="s">
        <v>94</v>
      </c>
      <c r="C37" s="24">
        <f>11179579.64</f>
        <v>11179579.640000001</v>
      </c>
      <c r="D37" s="24">
        <f>1892077.83</f>
        <v>1892077.83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5.9828770898463898E-4</v>
      </c>
      <c r="K37" s="35">
        <f t="shared" si="1"/>
        <v>16.924409422606875</v>
      </c>
      <c r="L37" s="30"/>
    </row>
    <row r="38" spans="2:12" ht="45" outlineLevel="1" x14ac:dyDescent="0.2">
      <c r="B38" s="84" t="s">
        <v>93</v>
      </c>
      <c r="C38" s="24">
        <f>38860919747.87</f>
        <v>38860919747.870003</v>
      </c>
      <c r="D38" s="24">
        <f>15491853415.19</f>
        <v>15491853415.190001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4.8986280272095781</v>
      </c>
      <c r="K38" s="35">
        <f t="shared" si="1"/>
        <v>39.864865565975492</v>
      </c>
      <c r="L38" s="30"/>
    </row>
    <row r="39" spans="2:12" ht="12.95" customHeight="1" outlineLevel="1" x14ac:dyDescent="0.2">
      <c r="B39" s="85" t="s">
        <v>6</v>
      </c>
      <c r="C39" s="24">
        <f>38562290548.96</f>
        <v>38562290548.959999</v>
      </c>
      <c r="D39" s="24">
        <f>15294080351.2</f>
        <v>15294080351.200001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4.8360908569741188</v>
      </c>
      <c r="K39" s="35">
        <f t="shared" si="1"/>
        <v>39.660715516320572</v>
      </c>
      <c r="L39" s="30"/>
    </row>
    <row r="40" spans="2:12" ht="22.5" outlineLevel="1" x14ac:dyDescent="0.2">
      <c r="B40" s="84" t="s">
        <v>105</v>
      </c>
      <c r="C40" s="24">
        <f>3375885730.78</f>
        <v>3375885730.7800002</v>
      </c>
      <c r="D40" s="24">
        <f>3221151966.66</f>
        <v>3221151966.6599998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1.0185498713995162</v>
      </c>
      <c r="K40" s="35">
        <f t="shared" si="1"/>
        <v>95.416498766258627</v>
      </c>
      <c r="L40" s="30"/>
    </row>
    <row r="41" spans="2:12" ht="12.95" customHeight="1" outlineLevel="1" x14ac:dyDescent="0.2">
      <c r="B41" s="85" t="s">
        <v>6</v>
      </c>
      <c r="C41" s="24">
        <f>2726502.74</f>
        <v>2726502.74</v>
      </c>
      <c r="D41" s="24">
        <f>2438503.77</f>
        <v>2438503.77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7.7107125868268586E-4</v>
      </c>
      <c r="K41" s="35">
        <f t="shared" si="1"/>
        <v>89.437055544642504</v>
      </c>
      <c r="L41" s="30"/>
    </row>
    <row r="42" spans="2:12" ht="14.1" customHeight="1" outlineLevel="1" x14ac:dyDescent="0.2">
      <c r="B42" s="82" t="s">
        <v>71</v>
      </c>
      <c r="C42" s="58">
        <f>2152604180</f>
        <v>2152604180</v>
      </c>
      <c r="D42" s="58">
        <f>1013388944.46</f>
        <v>1013388944.46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0.32044038584360718</v>
      </c>
      <c r="K42" s="59">
        <f t="shared" si="1"/>
        <v>47.077347237149752</v>
      </c>
      <c r="L42" s="30"/>
    </row>
    <row r="43" spans="2:12" ht="12.95" customHeight="1" outlineLevel="1" x14ac:dyDescent="0.2">
      <c r="B43" s="88" t="s">
        <v>72</v>
      </c>
      <c r="C43" s="23">
        <f>1199370415.61</f>
        <v>1199370415.6099999</v>
      </c>
      <c r="D43" s="23">
        <f>527592677.86</f>
        <v>527592677.86000001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0.16682834580537845</v>
      </c>
      <c r="K43" s="35">
        <f t="shared" si="1"/>
        <v>43.989135549226162</v>
      </c>
      <c r="L43" s="30"/>
    </row>
    <row r="44" spans="2:12" ht="14.1" customHeight="1" outlineLevel="1" x14ac:dyDescent="0.2">
      <c r="B44" s="82" t="s">
        <v>84</v>
      </c>
      <c r="C44" s="58">
        <f>13740743903.62</f>
        <v>13740743903.620001</v>
      </c>
      <c r="D44" s="58">
        <f>7506610229.99</f>
        <v>7506610229.9899998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2.3736405371555835</v>
      </c>
      <c r="K44" s="59">
        <f t="shared" si="1"/>
        <v>54.630304462718229</v>
      </c>
      <c r="L44" s="30"/>
    </row>
    <row r="45" spans="2:12" ht="12.95" customHeight="1" outlineLevel="1" x14ac:dyDescent="0.2">
      <c r="B45" s="88" t="s">
        <v>85</v>
      </c>
      <c r="C45" s="23">
        <f>10055898282.23</f>
        <v>10055898282.23</v>
      </c>
      <c r="D45" s="23">
        <f>5256114618.94</f>
        <v>5256114618.9399996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1.6620187201951839</v>
      </c>
      <c r="K45" s="35">
        <f t="shared" si="1"/>
        <v>52.268971616669951</v>
      </c>
      <c r="L45" s="30"/>
    </row>
    <row r="46" spans="2:12" ht="27.95" customHeight="1" x14ac:dyDescent="0.2">
      <c r="B46" s="77" t="s">
        <v>61</v>
      </c>
      <c r="C46" s="58">
        <f>C47+C48+C49+C50+C51+C52+C53</f>
        <v>116732121949.82001</v>
      </c>
      <c r="D46" s="58">
        <f>D47+D48+D49+D50+D51+D52+D53</f>
        <v>96078746470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30.380744489592306</v>
      </c>
      <c r="K46" s="59">
        <f t="shared" si="1"/>
        <v>82.30703328712012</v>
      </c>
      <c r="L46" s="30"/>
    </row>
    <row r="47" spans="2:12" ht="15" customHeight="1" outlineLevel="1" x14ac:dyDescent="0.2">
      <c r="B47" s="31" t="s">
        <v>47</v>
      </c>
      <c r="C47" s="23">
        <f>21000097891</f>
        <v>21000097891</v>
      </c>
      <c r="D47" s="23">
        <f>15748362468</f>
        <v>15748362468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4.9797379113307381</v>
      </c>
      <c r="K47" s="35">
        <f t="shared" si="1"/>
        <v>74.9918526558358</v>
      </c>
      <c r="L47" s="30"/>
    </row>
    <row r="48" spans="2:12" ht="15" customHeight="1" outlineLevel="1" x14ac:dyDescent="0.2">
      <c r="B48" s="31" t="s">
        <v>46</v>
      </c>
      <c r="C48" s="23">
        <f>87522067560.24</f>
        <v>87522067560.240005</v>
      </c>
      <c r="D48" s="23">
        <f>74076296792</f>
        <v>74076296792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23.423422226638447</v>
      </c>
      <c r="K48" s="35">
        <f t="shared" si="1"/>
        <v>84.637279325027947</v>
      </c>
      <c r="L48" s="30"/>
    </row>
    <row r="49" spans="1:26" ht="15" customHeight="1" outlineLevel="1" x14ac:dyDescent="0.2">
      <c r="B49" s="31" t="s">
        <v>45</v>
      </c>
      <c r="C49" s="23">
        <f>3471215</f>
        <v>3471215</v>
      </c>
      <c r="D49" s="23">
        <f>0</f>
        <v>0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0</v>
      </c>
      <c r="K49" s="35">
        <f t="shared" si="1"/>
        <v>0</v>
      </c>
      <c r="L49" s="30"/>
    </row>
    <row r="50" spans="1:26" ht="15" customHeight="1" outlineLevel="1" x14ac:dyDescent="0.2">
      <c r="B50" s="31" t="s">
        <v>44</v>
      </c>
      <c r="C50" s="23">
        <f>3105875700</f>
        <v>3105875700</v>
      </c>
      <c r="D50" s="23">
        <f>2328369039</f>
        <v>2328369039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0.73624591754456292</v>
      </c>
      <c r="K50" s="35">
        <f t="shared" si="1"/>
        <v>74.966587973884472</v>
      </c>
      <c r="L50" s="30"/>
    </row>
    <row r="51" spans="1:26" ht="15" customHeight="1" outlineLevel="1" x14ac:dyDescent="0.2">
      <c r="B51" s="31" t="s">
        <v>57</v>
      </c>
      <c r="C51" s="23">
        <f>1257099546</f>
        <v>1257099546</v>
      </c>
      <c r="D51" s="23">
        <f>942824655</f>
        <v>942824655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0.29812748390703497</v>
      </c>
      <c r="K51" s="35">
        <f t="shared" si="1"/>
        <v>74.999999642033117</v>
      </c>
      <c r="L51" s="30"/>
    </row>
    <row r="52" spans="1:26" ht="15" customHeight="1" outlineLevel="1" x14ac:dyDescent="0.2">
      <c r="B52" s="31" t="s">
        <v>115</v>
      </c>
      <c r="C52" s="23">
        <f>3169218754.34</f>
        <v>3169218754.3400002</v>
      </c>
      <c r="D52" s="23">
        <f>2423250882</f>
        <v>2423250882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0.76624819312363368</v>
      </c>
      <c r="K52" s="35">
        <f>IF(C52=0,"",100*D52/C52)</f>
        <v>76.4620895506675</v>
      </c>
      <c r="L52" s="30"/>
    </row>
    <row r="53" spans="1:26" ht="15" customHeight="1" outlineLevel="1" x14ac:dyDescent="0.2">
      <c r="B53" s="31" t="s">
        <v>42</v>
      </c>
      <c r="C53" s="23">
        <f>674291283.24</f>
        <v>674291283.24000001</v>
      </c>
      <c r="D53" s="23">
        <f>559642634</f>
        <v>559642634</v>
      </c>
      <c r="E53" s="23" t="s">
        <v>58</v>
      </c>
      <c r="F53" s="23" t="s">
        <v>58</v>
      </c>
      <c r="G53" s="23" t="s">
        <v>58</v>
      </c>
      <c r="H53" s="23" t="s">
        <v>58</v>
      </c>
      <c r="I53" s="23" t="s">
        <v>58</v>
      </c>
      <c r="J53" s="35">
        <f t="shared" si="0"/>
        <v>0.17696275704788994</v>
      </c>
      <c r="K53" s="35">
        <f>IF(C53=0,"",100*D53/C53)</f>
        <v>82.997162785627594</v>
      </c>
      <c r="L53" s="30"/>
    </row>
    <row r="54" spans="1:26" s="6" customFormat="1" ht="13.5" customHeigh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ht="18.75" customHeight="1" x14ac:dyDescent="0.2">
      <c r="A55" s="3"/>
      <c r="B55" s="62" t="s">
        <v>5</v>
      </c>
      <c r="C55" s="63">
        <f t="shared" ref="C55:I55" si="4">+C6</f>
        <v>431117416377.32001</v>
      </c>
      <c r="D55" s="63">
        <f t="shared" si="4"/>
        <v>316248821693.34003</v>
      </c>
      <c r="E55" s="63">
        <f t="shared" si="4"/>
        <v>5064810231.5100002</v>
      </c>
      <c r="F55" s="63">
        <f t="shared" si="4"/>
        <v>802120276.88</v>
      </c>
      <c r="G55" s="63">
        <f t="shared" si="4"/>
        <v>88927151.780000001</v>
      </c>
      <c r="H55" s="63">
        <f t="shared" si="4"/>
        <v>186876704.65000001</v>
      </c>
      <c r="I55" s="63">
        <f t="shared" si="4"/>
        <v>5467840.3099999996</v>
      </c>
      <c r="J55" s="64">
        <f>IF($D$55=0,"",100*$D55/$D$55)</f>
        <v>100</v>
      </c>
      <c r="K55" s="64">
        <f>IF(C55=0,"",100*D55/C55)</f>
        <v>73.355612573200858</v>
      </c>
      <c r="L55" s="4"/>
    </row>
    <row r="56" spans="1:26" s="6" customFormat="1" ht="20.100000000000001" customHeight="1" x14ac:dyDescent="0.2">
      <c r="A56" s="3"/>
      <c r="B56" s="55" t="s">
        <v>74</v>
      </c>
      <c r="C56" s="56">
        <f>71790668977.86</f>
        <v>71790668977.860001</v>
      </c>
      <c r="D56" s="56">
        <f>32368407781.69</f>
        <v>32368407781.689999</v>
      </c>
      <c r="E56" s="56">
        <f>0</f>
        <v>0</v>
      </c>
      <c r="F56" s="56">
        <f>0</f>
        <v>0</v>
      </c>
      <c r="G56" s="56">
        <f>0</f>
        <v>0</v>
      </c>
      <c r="H56" s="56">
        <f>0</f>
        <v>0</v>
      </c>
      <c r="I56" s="56">
        <f>0</f>
        <v>0</v>
      </c>
      <c r="J56" s="36">
        <f>IF($D$55=0,"",100*$D56/$D$55)</f>
        <v>10.235107788979205</v>
      </c>
      <c r="K56" s="36">
        <f>IF(C56=0,"",100*D56/C56)</f>
        <v>45.087207352354255</v>
      </c>
      <c r="L56" s="4"/>
    </row>
    <row r="57" spans="1:26" s="6" customFormat="1" ht="20.100000000000001" customHeight="1" x14ac:dyDescent="0.2">
      <c r="A57" s="3"/>
      <c r="B57" s="55" t="s">
        <v>75</v>
      </c>
      <c r="C57" s="56">
        <f>+C55-C56</f>
        <v>359326747399.46002</v>
      </c>
      <c r="D57" s="56">
        <f t="shared" ref="D57:I57" si="5">+D55-D56</f>
        <v>283880413911.65002</v>
      </c>
      <c r="E57" s="56">
        <f t="shared" si="5"/>
        <v>5064810231.5100002</v>
      </c>
      <c r="F57" s="56">
        <f t="shared" si="5"/>
        <v>802120276.88</v>
      </c>
      <c r="G57" s="56">
        <f t="shared" si="5"/>
        <v>88927151.780000001</v>
      </c>
      <c r="H57" s="56">
        <f t="shared" si="5"/>
        <v>186876704.65000001</v>
      </c>
      <c r="I57" s="56">
        <f t="shared" si="5"/>
        <v>5467840.3099999996</v>
      </c>
      <c r="J57" s="36">
        <f>IF($D$55=0,"",100*$D57/$D$55)</f>
        <v>89.764892211020793</v>
      </c>
      <c r="K57" s="36">
        <f>IF(C57=0,"",100*D57/C57)</f>
        <v>79.003418466942833</v>
      </c>
      <c r="L57" s="4"/>
    </row>
    <row r="58" spans="1:26" s="6" customFormat="1" ht="13.5" customHeight="1" x14ac:dyDescent="0.2">
      <c r="A58" s="3"/>
      <c r="B58" s="92" t="s">
        <v>106</v>
      </c>
      <c r="C58" s="92"/>
      <c r="D58" s="92"/>
      <c r="E58" s="92"/>
      <c r="F58" s="92"/>
      <c r="G58" s="16"/>
      <c r="H58" s="16"/>
      <c r="I58" s="16"/>
      <c r="J58" s="16"/>
      <c r="K58" s="10"/>
      <c r="L58" s="10"/>
      <c r="M58" s="4"/>
    </row>
    <row r="59" spans="1:26" ht="27" customHeight="1" x14ac:dyDescent="0.2">
      <c r="B59" s="87" t="str">
        <f>CONCATENATE("Informacja z wykonania budżetów jednostek samorządu terytorialnego za ",$D$118," ",$C$119," roku")</f>
        <v>Informacja z wykonania budżetów jednostek samorządu terytorialnego za III Kwartały 2024 roku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26" s="6" customFormat="1" ht="9.75" customHeigh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29.25" customHeight="1" x14ac:dyDescent="0.2">
      <c r="B61" s="119" t="s">
        <v>0</v>
      </c>
      <c r="C61" s="108" t="s">
        <v>53</v>
      </c>
      <c r="D61" s="108" t="s">
        <v>55</v>
      </c>
      <c r="E61" s="108" t="s">
        <v>54</v>
      </c>
      <c r="F61" s="108" t="s">
        <v>12</v>
      </c>
      <c r="G61" s="108"/>
      <c r="H61" s="108"/>
      <c r="I61" s="105" t="s">
        <v>86</v>
      </c>
      <c r="J61" s="105" t="s">
        <v>2</v>
      </c>
      <c r="K61" s="102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 x14ac:dyDescent="0.2">
      <c r="B62" s="119"/>
      <c r="C62" s="108"/>
      <c r="D62" s="108"/>
      <c r="E62" s="108"/>
      <c r="F62" s="94" t="s">
        <v>56</v>
      </c>
      <c r="G62" s="109" t="s">
        <v>33</v>
      </c>
      <c r="H62" s="96"/>
      <c r="I62" s="106"/>
      <c r="J62" s="106"/>
      <c r="K62" s="103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66.75" customHeight="1" x14ac:dyDescent="0.2">
      <c r="B63" s="119"/>
      <c r="C63" s="108"/>
      <c r="D63" s="108"/>
      <c r="E63" s="108"/>
      <c r="F63" s="96"/>
      <c r="G63" s="18" t="s">
        <v>51</v>
      </c>
      <c r="H63" s="18" t="s">
        <v>52</v>
      </c>
      <c r="I63" s="107"/>
      <c r="J63" s="107"/>
      <c r="K63" s="104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3.5" customHeight="1" x14ac:dyDescent="0.2">
      <c r="B64" s="119"/>
      <c r="C64" s="120" t="s">
        <v>78</v>
      </c>
      <c r="D64" s="121"/>
      <c r="E64" s="121"/>
      <c r="F64" s="121"/>
      <c r="G64" s="121"/>
      <c r="H64" s="122"/>
      <c r="I64" s="72"/>
      <c r="J64" s="101" t="s">
        <v>4</v>
      </c>
      <c r="K64" s="10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7" customHeight="1" x14ac:dyDescent="0.2">
      <c r="B66" s="57" t="s">
        <v>62</v>
      </c>
      <c r="C66" s="63">
        <f>470599931005.61</f>
        <v>470599931005.60999</v>
      </c>
      <c r="D66" s="63">
        <f>295183623071.04</f>
        <v>295183623071.03998</v>
      </c>
      <c r="E66" s="63">
        <f>391381167371.37</f>
        <v>391381167371.37</v>
      </c>
      <c r="F66" s="63">
        <f>11564131270.71</f>
        <v>11564131270.709999</v>
      </c>
      <c r="G66" s="63">
        <f>8540262.55</f>
        <v>8540262.5500000007</v>
      </c>
      <c r="H66" s="63">
        <f>63109706.81</f>
        <v>63109706.810000002</v>
      </c>
      <c r="I66" s="69">
        <f>0</f>
        <v>0</v>
      </c>
      <c r="J66" s="50">
        <f>IF($D$66=0,"",100*$D66/$D$66)</f>
        <v>100</v>
      </c>
      <c r="K66" s="50">
        <f>IF(C66=0,"",100*D66/C66)</f>
        <v>62.724960974871266</v>
      </c>
    </row>
    <row r="67" spans="2:26" ht="16.5" customHeight="1" x14ac:dyDescent="0.2">
      <c r="B67" s="76" t="s">
        <v>14</v>
      </c>
      <c r="C67" s="27">
        <f>119105015024.58</f>
        <v>119105015024.58</v>
      </c>
      <c r="D67" s="27">
        <f>46767792069.38</f>
        <v>46767792069.379997</v>
      </c>
      <c r="E67" s="27">
        <f>83961548869.2002</f>
        <v>83961548869.200195</v>
      </c>
      <c r="F67" s="27">
        <f>3916295297.77</f>
        <v>3916295297.77</v>
      </c>
      <c r="G67" s="27">
        <f>130779.83</f>
        <v>130779.83</v>
      </c>
      <c r="H67" s="27">
        <f>26389726.01</f>
        <v>26389726.010000002</v>
      </c>
      <c r="I67" s="70">
        <f>0</f>
        <v>0</v>
      </c>
      <c r="J67" s="50">
        <f t="shared" ref="J67:J75" si="6">IF($D$66=0,"",100*$D67/$D$66)</f>
        <v>15.84362695423814</v>
      </c>
      <c r="K67" s="50">
        <f t="shared" ref="K67:K75" si="7">IF(C67=0,"",100*D67/C67)</f>
        <v>39.266014163827116</v>
      </c>
    </row>
    <row r="68" spans="2:26" ht="18" customHeight="1" outlineLevel="1" x14ac:dyDescent="0.2">
      <c r="B68" s="31" t="s">
        <v>13</v>
      </c>
      <c r="C68" s="23">
        <f>114612292100.98</f>
        <v>114612292100.98</v>
      </c>
      <c r="D68" s="23">
        <f>43829426118.22</f>
        <v>43829426118.220001</v>
      </c>
      <c r="E68" s="23">
        <f>80701787189.6001</f>
        <v>80701787189.600098</v>
      </c>
      <c r="F68" s="23">
        <f>3891283903</f>
        <v>3891283903</v>
      </c>
      <c r="G68" s="23">
        <f>130779.83</f>
        <v>130779.83</v>
      </c>
      <c r="H68" s="23">
        <f>23439726.01</f>
        <v>23439726.010000002</v>
      </c>
      <c r="I68" s="71">
        <f>0</f>
        <v>0</v>
      </c>
      <c r="J68" s="50">
        <f t="shared" si="6"/>
        <v>14.848190310229999</v>
      </c>
      <c r="K68" s="50">
        <f t="shared" si="7"/>
        <v>38.241470713807701</v>
      </c>
    </row>
    <row r="69" spans="2:26" ht="27" customHeight="1" x14ac:dyDescent="0.2">
      <c r="B69" s="77" t="s">
        <v>63</v>
      </c>
      <c r="C69" s="63">
        <f t="shared" ref="C69:I69" si="8">C66-C67</f>
        <v>351494915981.02997</v>
      </c>
      <c r="D69" s="63">
        <f t="shared" si="8"/>
        <v>248415831001.65997</v>
      </c>
      <c r="E69" s="63">
        <f t="shared" si="8"/>
        <v>307419618502.1698</v>
      </c>
      <c r="F69" s="63">
        <f t="shared" si="8"/>
        <v>7647835972.9399986</v>
      </c>
      <c r="G69" s="63">
        <f t="shared" si="8"/>
        <v>8409482.7200000007</v>
      </c>
      <c r="H69" s="63">
        <f t="shared" si="8"/>
        <v>36719980.799999997</v>
      </c>
      <c r="I69" s="69">
        <f t="shared" si="8"/>
        <v>0</v>
      </c>
      <c r="J69" s="50">
        <f t="shared" si="6"/>
        <v>84.156373045761853</v>
      </c>
      <c r="K69" s="50">
        <f t="shared" si="7"/>
        <v>70.674089355837751</v>
      </c>
    </row>
    <row r="70" spans="2:26" ht="23.1" customHeight="1" outlineLevel="1" x14ac:dyDescent="0.2">
      <c r="B70" s="31" t="s">
        <v>101</v>
      </c>
      <c r="C70" s="23">
        <f>159250692615.83</f>
        <v>159250692615.82999</v>
      </c>
      <c r="D70" s="23">
        <f>117180592628.39</f>
        <v>117180592628.39</v>
      </c>
      <c r="E70" s="23">
        <f>148813456700.72</f>
        <v>148813456700.72</v>
      </c>
      <c r="F70" s="23">
        <f>3651822731.93</f>
        <v>3651822731.9299998</v>
      </c>
      <c r="G70" s="23">
        <f>881753.07</f>
        <v>881753.07</v>
      </c>
      <c r="H70" s="23">
        <f>4399383.15</f>
        <v>4399383.1500000004</v>
      </c>
      <c r="I70" s="71">
        <f>0</f>
        <v>0</v>
      </c>
      <c r="J70" s="50">
        <f t="shared" si="6"/>
        <v>39.697525021633361</v>
      </c>
      <c r="K70" s="50">
        <f t="shared" si="7"/>
        <v>73.582469692029406</v>
      </c>
    </row>
    <row r="71" spans="2:26" ht="18" customHeight="1" outlineLevel="1" x14ac:dyDescent="0.2">
      <c r="B71" s="31" t="s">
        <v>50</v>
      </c>
      <c r="C71" s="23">
        <f>45429983750.04</f>
        <v>45429983750.040001</v>
      </c>
      <c r="D71" s="23">
        <f>34481605219.07</f>
        <v>34481605219.07</v>
      </c>
      <c r="E71" s="23">
        <f>40122502024.35</f>
        <v>40122502024.349998</v>
      </c>
      <c r="F71" s="23">
        <f>234440765.83</f>
        <v>234440765.83000001</v>
      </c>
      <c r="G71" s="23">
        <f>0</f>
        <v>0</v>
      </c>
      <c r="H71" s="23">
        <f>3317991.51</f>
        <v>3317991.51</v>
      </c>
      <c r="I71" s="71">
        <f>0</f>
        <v>0</v>
      </c>
      <c r="J71" s="50">
        <f t="shared" si="6"/>
        <v>11.68140862976383</v>
      </c>
      <c r="K71" s="50">
        <f t="shared" si="7"/>
        <v>75.900544910583733</v>
      </c>
    </row>
    <row r="72" spans="2:26" ht="18" customHeight="1" outlineLevel="1" x14ac:dyDescent="0.2">
      <c r="B72" s="31" t="s">
        <v>49</v>
      </c>
      <c r="C72" s="23">
        <f>6764119735.59</f>
        <v>6764119735.5900002</v>
      </c>
      <c r="D72" s="23">
        <f>4146325757.86</f>
        <v>4146325757.8600001</v>
      </c>
      <c r="E72" s="23">
        <f>5167441099.48</f>
        <v>5167441099.4799995</v>
      </c>
      <c r="F72" s="23">
        <f>238069009.29</f>
        <v>238069009.28999999</v>
      </c>
      <c r="G72" s="23">
        <f>0</f>
        <v>0</v>
      </c>
      <c r="H72" s="23">
        <f>1195358.38</f>
        <v>1195358.3799999999</v>
      </c>
      <c r="I72" s="71">
        <f>0</f>
        <v>0</v>
      </c>
      <c r="J72" s="50">
        <f t="shared" si="6"/>
        <v>1.404659823171196</v>
      </c>
      <c r="K72" s="50">
        <f t="shared" si="7"/>
        <v>61.298822610187528</v>
      </c>
    </row>
    <row r="73" spans="2:26" ht="23.1" customHeight="1" outlineLevel="1" x14ac:dyDescent="0.2">
      <c r="B73" s="31" t="s">
        <v>69</v>
      </c>
      <c r="C73" s="23">
        <f>401509695.32</f>
        <v>401509695.31999999</v>
      </c>
      <c r="D73" s="23">
        <f>37305775.14</f>
        <v>37305775.140000001</v>
      </c>
      <c r="E73" s="23">
        <f>55597823.74</f>
        <v>55597823.740000002</v>
      </c>
      <c r="F73" s="23">
        <f>241754.49</f>
        <v>241754.49</v>
      </c>
      <c r="G73" s="23">
        <f>0</f>
        <v>0</v>
      </c>
      <c r="H73" s="23">
        <f>0</f>
        <v>0</v>
      </c>
      <c r="I73" s="71">
        <f>0</f>
        <v>0</v>
      </c>
      <c r="J73" s="50">
        <f t="shared" si="6"/>
        <v>1.2638158835465561E-2</v>
      </c>
      <c r="K73" s="50">
        <f t="shared" si="7"/>
        <v>9.2913759181500204</v>
      </c>
    </row>
    <row r="74" spans="2:26" ht="23.1" customHeight="1" outlineLevel="1" x14ac:dyDescent="0.2">
      <c r="B74" s="31" t="s">
        <v>70</v>
      </c>
      <c r="C74" s="23">
        <f>24947487588.32</f>
        <v>24947487588.32</v>
      </c>
      <c r="D74" s="23">
        <f>20079218275.89</f>
        <v>20079218275.889999</v>
      </c>
      <c r="E74" s="23">
        <f>22539285813.88</f>
        <v>22539285813.880001</v>
      </c>
      <c r="F74" s="23">
        <f>194244064.78</f>
        <v>194244064.78</v>
      </c>
      <c r="G74" s="23">
        <f>46563.14</f>
        <v>46563.14</v>
      </c>
      <c r="H74" s="23">
        <f>640442.35</f>
        <v>640442.35</v>
      </c>
      <c r="I74" s="71">
        <f>0</f>
        <v>0</v>
      </c>
      <c r="J74" s="50">
        <f t="shared" si="6"/>
        <v>6.8022805828417052</v>
      </c>
      <c r="K74" s="50">
        <f t="shared" si="7"/>
        <v>80.48593352258348</v>
      </c>
    </row>
    <row r="75" spans="2:26" ht="18" customHeight="1" outlineLevel="1" x14ac:dyDescent="0.2">
      <c r="B75" s="31" t="s">
        <v>48</v>
      </c>
      <c r="C75" s="23">
        <f t="shared" ref="C75:I75" si="9">C69-C70-C71-C72-C73-C74</f>
        <v>114701122595.92996</v>
      </c>
      <c r="D75" s="23">
        <f t="shared" si="9"/>
        <v>72490783345.309982</v>
      </c>
      <c r="E75" s="23">
        <f t="shared" si="9"/>
        <v>90721335039.999786</v>
      </c>
      <c r="F75" s="23">
        <f t="shared" si="9"/>
        <v>3329017646.6199989</v>
      </c>
      <c r="G75" s="23">
        <f t="shared" si="9"/>
        <v>7481166.5100000007</v>
      </c>
      <c r="H75" s="23">
        <f t="shared" si="9"/>
        <v>27166805.41</v>
      </c>
      <c r="I75" s="71">
        <f t="shared" si="9"/>
        <v>0</v>
      </c>
      <c r="J75" s="50">
        <f t="shared" si="6"/>
        <v>24.557860829516304</v>
      </c>
      <c r="K75" s="50">
        <f t="shared" si="7"/>
        <v>63.199715665103902</v>
      </c>
    </row>
    <row r="76" spans="2:26" ht="18.75" customHeight="1" x14ac:dyDescent="0.2">
      <c r="B76" s="20" t="s">
        <v>15</v>
      </c>
      <c r="C76" s="27">
        <f>C6-C66</f>
        <v>-39482514628.289978</v>
      </c>
      <c r="D76" s="27">
        <f>D6-D66</f>
        <v>21065198622.300049</v>
      </c>
      <c r="E76" s="29"/>
      <c r="F76" s="29"/>
      <c r="G76" s="14"/>
    </row>
    <row r="77" spans="2:26" ht="38.25" x14ac:dyDescent="0.2">
      <c r="B77" s="51" t="s">
        <v>104</v>
      </c>
      <c r="C77" s="52">
        <f>+C57-C69</f>
        <v>7831831418.4300537</v>
      </c>
      <c r="D77" s="52">
        <f>+D57-D69</f>
        <v>35464582909.990051</v>
      </c>
      <c r="E77" s="29"/>
      <c r="F77" s="29"/>
      <c r="G77" s="14"/>
    </row>
    <row r="78" spans="2:26" ht="12" customHeight="1" x14ac:dyDescent="0.2">
      <c r="B78" s="53"/>
      <c r="C78" s="54"/>
      <c r="D78" s="54"/>
      <c r="E78" s="54"/>
      <c r="F78" s="2"/>
      <c r="G78" s="2"/>
      <c r="H78" s="2"/>
      <c r="I78" s="2"/>
      <c r="L78" s="11"/>
      <c r="M78" s="11"/>
    </row>
    <row r="79" spans="2:26" ht="12" customHeight="1" x14ac:dyDescent="0.2">
      <c r="B79" s="90" t="s">
        <v>107</v>
      </c>
      <c r="C79" s="54"/>
      <c r="D79" s="54"/>
      <c r="E79" s="54"/>
      <c r="F79" s="2"/>
      <c r="G79" s="2"/>
      <c r="H79" s="2"/>
      <c r="I79" s="2"/>
      <c r="L79" s="11"/>
      <c r="M79" s="11"/>
    </row>
    <row r="80" spans="2:26" ht="27.95" customHeight="1" x14ac:dyDescent="0.2">
      <c r="B80" s="91" t="s">
        <v>73</v>
      </c>
      <c r="C80" s="63">
        <f>17179086110.06</f>
        <v>17179086110.059999</v>
      </c>
      <c r="D80" s="63">
        <f>6116922167.95</f>
        <v>6116922167.9499998</v>
      </c>
      <c r="E80" s="63">
        <f>10234125216.65</f>
        <v>10234125216.65</v>
      </c>
      <c r="F80" s="63">
        <f>384783915.300001</f>
        <v>384783915.30000103</v>
      </c>
      <c r="G80" s="63">
        <f>0</f>
        <v>0</v>
      </c>
      <c r="H80" s="63">
        <f>2697923.97</f>
        <v>2697923.97</v>
      </c>
      <c r="I80" s="69">
        <f>0</f>
        <v>0</v>
      </c>
      <c r="J80" s="50">
        <f>IF($D$80=0,"",100*$D80/$D$80)</f>
        <v>100</v>
      </c>
      <c r="K80" s="50">
        <f>IF(C80=0,"",100*D80/C80)</f>
        <v>35.606796128508584</v>
      </c>
      <c r="L80" s="11"/>
    </row>
    <row r="81" spans="2:13" ht="20.100000000000001" customHeight="1" x14ac:dyDescent="0.2">
      <c r="B81" s="55" t="s">
        <v>76</v>
      </c>
      <c r="C81" s="65">
        <f>11656047135.62</f>
        <v>11656047135.620001</v>
      </c>
      <c r="D81" s="65">
        <f>3818035343.42</f>
        <v>3818035343.4200001</v>
      </c>
      <c r="E81" s="65">
        <f>7076075367.32</f>
        <v>7076075367.3199997</v>
      </c>
      <c r="F81" s="65">
        <f>354024459.74</f>
        <v>354024459.74000001</v>
      </c>
      <c r="G81" s="65">
        <f>0</f>
        <v>0</v>
      </c>
      <c r="H81" s="65">
        <f>2582196.15</f>
        <v>2582196.15</v>
      </c>
      <c r="I81" s="74">
        <f>0</f>
        <v>0</v>
      </c>
      <c r="J81" s="50">
        <f>IF($D$80=0,"",100*$D81/$D$80)</f>
        <v>62.417589084668059</v>
      </c>
      <c r="K81" s="50">
        <f>IF(C81=0,"",100*D81/C81)</f>
        <v>32.755833079572682</v>
      </c>
      <c r="L81" s="11"/>
    </row>
    <row r="82" spans="2:13" ht="20.100000000000001" customHeight="1" x14ac:dyDescent="0.2">
      <c r="B82" s="55" t="s">
        <v>77</v>
      </c>
      <c r="C82" s="65">
        <f t="shared" ref="C82:I82" si="10">C80-C81</f>
        <v>5523038974.4399986</v>
      </c>
      <c r="D82" s="65">
        <f t="shared" si="10"/>
        <v>2298886824.5299997</v>
      </c>
      <c r="E82" s="65">
        <f t="shared" si="10"/>
        <v>3158049849.3299999</v>
      </c>
      <c r="F82" s="65">
        <f t="shared" si="10"/>
        <v>30759455.560001016</v>
      </c>
      <c r="G82" s="65">
        <f t="shared" si="10"/>
        <v>0</v>
      </c>
      <c r="H82" s="65">
        <f t="shared" si="10"/>
        <v>115727.8200000003</v>
      </c>
      <c r="I82" s="74">
        <f t="shared" si="10"/>
        <v>0</v>
      </c>
      <c r="J82" s="50">
        <f>IF($D$80=0,"",100*$D82/$D$80)</f>
        <v>37.582410915331934</v>
      </c>
      <c r="K82" s="50">
        <f>IF(C82=0,"",100*D82/C82)</f>
        <v>41.623585043831639</v>
      </c>
    </row>
    <row r="83" spans="2:13" ht="20.25" x14ac:dyDescent="0.2">
      <c r="B83" s="87" t="str">
        <f>CONCATENATE("Informacja z wykonania budżetów jednostek samorządu terytorialnego za ",$D$118," ",$C$119," roku")</f>
        <v>Informacja z wykonania budżetów jednostek samorządu terytorialnego za III Kwartały 2024 roku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</row>
    <row r="84" spans="2:13" ht="18" customHeight="1" x14ac:dyDescent="0.2">
      <c r="B84" s="41" t="s">
        <v>16</v>
      </c>
      <c r="C84" s="73" t="s">
        <v>17</v>
      </c>
      <c r="D84" s="73" t="s">
        <v>1</v>
      </c>
      <c r="E84" s="110" t="s">
        <v>58</v>
      </c>
      <c r="F84" s="111"/>
      <c r="G84" s="111"/>
      <c r="H84" s="111"/>
      <c r="I84" s="112"/>
      <c r="J84" s="19" t="s">
        <v>26</v>
      </c>
      <c r="K84" s="19" t="s">
        <v>27</v>
      </c>
    </row>
    <row r="85" spans="2:13" x14ac:dyDescent="0.2">
      <c r="B85" s="41"/>
      <c r="C85" s="94" t="s">
        <v>78</v>
      </c>
      <c r="D85" s="95"/>
      <c r="E85" s="113"/>
      <c r="F85" s="114"/>
      <c r="G85" s="114"/>
      <c r="H85" s="114"/>
      <c r="I85" s="115"/>
      <c r="J85" s="99" t="s">
        <v>4</v>
      </c>
      <c r="K85" s="100"/>
    </row>
    <row r="86" spans="2:13" x14ac:dyDescent="0.2">
      <c r="B86" s="39">
        <v>1</v>
      </c>
      <c r="C86" s="73">
        <v>2</v>
      </c>
      <c r="D86" s="73">
        <v>3</v>
      </c>
      <c r="E86" s="116"/>
      <c r="F86" s="117"/>
      <c r="G86" s="117"/>
      <c r="H86" s="117"/>
      <c r="I86" s="118"/>
      <c r="J86" s="40">
        <v>4</v>
      </c>
      <c r="K86" s="40">
        <v>5</v>
      </c>
    </row>
    <row r="87" spans="2:13" ht="25.5" x14ac:dyDescent="0.2">
      <c r="B87" s="38" t="s">
        <v>64</v>
      </c>
      <c r="C87" s="43">
        <f>51090052808.83</f>
        <v>51090052808.830002</v>
      </c>
      <c r="D87" s="43">
        <f>38536949718.6</f>
        <v>38536949718.599998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2">
        <f>IF($D$87=0,"",100*$D87/$D$87)</f>
        <v>100</v>
      </c>
      <c r="K87" s="37">
        <f t="shared" ref="K87:K102" si="11">IF(C87=0,"",100*D87/C87)</f>
        <v>75.429457594805186</v>
      </c>
    </row>
    <row r="88" spans="2:13" ht="33.75" x14ac:dyDescent="0.2">
      <c r="B88" s="78" t="s">
        <v>108</v>
      </c>
      <c r="C88" s="44">
        <f>27867601428.04</f>
        <v>27867601428.040001</v>
      </c>
      <c r="D88" s="44">
        <f>4508040865.29</f>
        <v>4508040865.29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48">
        <f t="shared" ref="J88:J97" si="12">IF($D$87=0,"",100*$D88/$D$87)</f>
        <v>11.697970125316321</v>
      </c>
      <c r="K88" s="49">
        <f t="shared" si="11"/>
        <v>16.176637508365076</v>
      </c>
    </row>
    <row r="89" spans="2:13" ht="22.5" x14ac:dyDescent="0.2">
      <c r="B89" s="79" t="s">
        <v>87</v>
      </c>
      <c r="C89" s="67">
        <f>2645290776.8</f>
        <v>2645290776.8000002</v>
      </c>
      <c r="D89" s="67">
        <f>411800000</f>
        <v>411800000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1.0685848335350818</v>
      </c>
      <c r="K89" s="66">
        <f t="shared" si="11"/>
        <v>15.567286727478525</v>
      </c>
    </row>
    <row r="90" spans="2:13" x14ac:dyDescent="0.2">
      <c r="B90" s="32" t="s">
        <v>88</v>
      </c>
      <c r="C90" s="67">
        <f>425749081.69</f>
        <v>425749081.69</v>
      </c>
      <c r="D90" s="67">
        <f>183056194.67</f>
        <v>183056194.66999999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0.47501474820060102</v>
      </c>
      <c r="K90" s="66">
        <f t="shared" si="11"/>
        <v>42.99626294984904</v>
      </c>
    </row>
    <row r="91" spans="2:13" ht="48" customHeight="1" x14ac:dyDescent="0.2">
      <c r="B91" s="32" t="s">
        <v>97</v>
      </c>
      <c r="C91" s="67">
        <f>5111993767.84</f>
        <v>5111993767.8400002</v>
      </c>
      <c r="D91" s="67">
        <f>9251114894.37</f>
        <v>9251114894.3700008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24.005830668805935</v>
      </c>
      <c r="K91" s="66">
        <f t="shared" si="11"/>
        <v>180.96882184343755</v>
      </c>
    </row>
    <row r="92" spans="2:13" ht="33.75" x14ac:dyDescent="0.2">
      <c r="B92" s="32" t="s">
        <v>98</v>
      </c>
      <c r="C92" s="67">
        <f>4395919561.39</f>
        <v>4395919561.3900003</v>
      </c>
      <c r="D92" s="67">
        <f>5505739290.86</f>
        <v>5505739290.8599997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14.286909916491483</v>
      </c>
      <c r="K92" s="66">
        <f t="shared" si="11"/>
        <v>125.24658865957666</v>
      </c>
    </row>
    <row r="93" spans="2:13" x14ac:dyDescent="0.2">
      <c r="B93" s="32" t="s">
        <v>89</v>
      </c>
      <c r="C93" s="67">
        <f>0</f>
        <v>0</v>
      </c>
      <c r="D93" s="67">
        <f>0</f>
        <v>0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0</v>
      </c>
      <c r="K93" s="66" t="str">
        <f t="shared" si="11"/>
        <v/>
      </c>
    </row>
    <row r="94" spans="2:13" ht="33.75" x14ac:dyDescent="0.2">
      <c r="B94" s="32" t="s">
        <v>90</v>
      </c>
      <c r="C94" s="67">
        <f>12301783215.21</f>
        <v>12301783215.209999</v>
      </c>
      <c r="D94" s="67">
        <f>17691181859.19</f>
        <v>17691181859.189999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8">
        <f t="shared" si="12"/>
        <v>45.9070631909699</v>
      </c>
      <c r="K94" s="66">
        <f t="shared" si="11"/>
        <v>143.80989771723918</v>
      </c>
    </row>
    <row r="95" spans="2:13" ht="56.25" x14ac:dyDescent="0.2">
      <c r="B95" s="32" t="s">
        <v>109</v>
      </c>
      <c r="C95" s="67">
        <f>0</f>
        <v>0</v>
      </c>
      <c r="D95" s="67">
        <f>600246446.6</f>
        <v>600246446.60000002</v>
      </c>
      <c r="E95" s="43"/>
      <c r="F95" s="43"/>
      <c r="G95" s="43"/>
      <c r="H95" s="43"/>
      <c r="I95" s="43"/>
      <c r="J95" s="68">
        <f>IF($D$87=0,"",100*$D95/$D$87)</f>
        <v>1.5575868120934566</v>
      </c>
      <c r="K95" s="66" t="str">
        <f>IF(C95=0,"",100*D95/C95)</f>
        <v/>
      </c>
    </row>
    <row r="96" spans="2:13" x14ac:dyDescent="0.2">
      <c r="B96" s="32" t="s">
        <v>110</v>
      </c>
      <c r="C96" s="67">
        <f>987005754.66</f>
        <v>987005754.65999997</v>
      </c>
      <c r="D96" s="67">
        <f>797570167.62</f>
        <v>797570167.62</v>
      </c>
      <c r="E96" s="43"/>
      <c r="F96" s="43"/>
      <c r="G96" s="43"/>
      <c r="H96" s="43"/>
      <c r="I96" s="43"/>
      <c r="J96" s="48">
        <f t="shared" si="12"/>
        <v>2.0696245381223046</v>
      </c>
      <c r="K96" s="49">
        <f>IF(C96=0,"",100*D96/C96)</f>
        <v>80.807043307943431</v>
      </c>
    </row>
    <row r="97" spans="2:11" ht="22.5" x14ac:dyDescent="0.2">
      <c r="B97" s="79" t="s">
        <v>111</v>
      </c>
      <c r="C97" s="67">
        <f>664016821.87</f>
        <v>664016821.87</v>
      </c>
      <c r="D97" s="67">
        <f>643634905.73</f>
        <v>643634905.73000002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68">
        <f t="shared" si="12"/>
        <v>1.6701760529306948</v>
      </c>
      <c r="K97" s="66">
        <f>IF(C97=0,"",100*D97/C97)</f>
        <v>96.930512079106578</v>
      </c>
    </row>
    <row r="98" spans="2:11" ht="25.5" x14ac:dyDescent="0.2">
      <c r="B98" s="38" t="s">
        <v>65</v>
      </c>
      <c r="C98" s="26">
        <f>11403233408.54</f>
        <v>11403233408.540001</v>
      </c>
      <c r="D98" s="26">
        <f>7933106506.35</f>
        <v>7933106506.3500004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2">
        <f t="shared" ref="J98:J103" si="13">IF($D$98=0,"",100*$D98/$D$98)</f>
        <v>100</v>
      </c>
      <c r="K98" s="37">
        <f t="shared" si="11"/>
        <v>69.568921569287653</v>
      </c>
    </row>
    <row r="99" spans="2:11" ht="22.5" x14ac:dyDescent="0.2">
      <c r="B99" s="78" t="s">
        <v>91</v>
      </c>
      <c r="C99" s="67">
        <f>10034715471.87</f>
        <v>10034715471.870001</v>
      </c>
      <c r="D99" s="67">
        <f>5690850676.79</f>
        <v>5690850676.79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48">
        <f t="shared" si="13"/>
        <v>71.735462926594991</v>
      </c>
      <c r="K99" s="49">
        <f t="shared" si="11"/>
        <v>56.711629669450829</v>
      </c>
    </row>
    <row r="100" spans="2:11" x14ac:dyDescent="0.2">
      <c r="B100" s="79" t="s">
        <v>92</v>
      </c>
      <c r="C100" s="67">
        <f>519696022.2</f>
        <v>519696022.19999999</v>
      </c>
      <c r="D100" s="67">
        <f>233437694</f>
        <v>233437694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2.9425760742421194</v>
      </c>
      <c r="K100" s="66">
        <f t="shared" si="11"/>
        <v>44.918122138361056</v>
      </c>
    </row>
    <row r="101" spans="2:11" x14ac:dyDescent="0.2">
      <c r="B101" s="32" t="s">
        <v>99</v>
      </c>
      <c r="C101" s="67">
        <f>428745569.53</f>
        <v>428745569.52999997</v>
      </c>
      <c r="D101" s="67">
        <f>337190092.26</f>
        <v>337190092.25999999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68">
        <f t="shared" si="13"/>
        <v>4.2504168069607857</v>
      </c>
      <c r="K101" s="66">
        <f t="shared" si="11"/>
        <v>78.645732159899623</v>
      </c>
    </row>
    <row r="102" spans="2:11" x14ac:dyDescent="0.2">
      <c r="B102" s="80" t="s">
        <v>112</v>
      </c>
      <c r="C102" s="67">
        <f>939772367.14</f>
        <v>939772367.13999999</v>
      </c>
      <c r="D102" s="67">
        <f>1905065737.3</f>
        <v>1905065737.3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24.014120266444213</v>
      </c>
      <c r="K102" s="49">
        <f t="shared" si="11"/>
        <v>202.71565795211322</v>
      </c>
    </row>
    <row r="103" spans="2:11" ht="22.5" x14ac:dyDescent="0.2">
      <c r="B103" s="93" t="s">
        <v>113</v>
      </c>
      <c r="C103" s="67">
        <f>232792373.71</f>
        <v>232792373.71000001</v>
      </c>
      <c r="D103" s="67">
        <f>61835346.65</f>
        <v>61835346.649999999</v>
      </c>
      <c r="E103" s="43" t="s">
        <v>58</v>
      </c>
      <c r="F103" s="43" t="s">
        <v>58</v>
      </c>
      <c r="G103" s="43" t="s">
        <v>58</v>
      </c>
      <c r="H103" s="43" t="s">
        <v>58</v>
      </c>
      <c r="I103" s="43" t="s">
        <v>58</v>
      </c>
      <c r="J103" s="48">
        <f t="shared" si="13"/>
        <v>0.77945942866775231</v>
      </c>
      <c r="K103" s="49">
        <f>IF(C103=0,"",100*D103/C103)</f>
        <v>26.562445180025996</v>
      </c>
    </row>
    <row r="105" spans="2:11" ht="18" customHeight="1" x14ac:dyDescent="0.2">
      <c r="B105" s="41" t="s">
        <v>16</v>
      </c>
      <c r="C105" s="73" t="s">
        <v>17</v>
      </c>
      <c r="D105" s="19" t="s">
        <v>1</v>
      </c>
    </row>
    <row r="106" spans="2:11" x14ac:dyDescent="0.2">
      <c r="B106" s="41"/>
      <c r="C106" s="94" t="s">
        <v>78</v>
      </c>
      <c r="D106" s="95"/>
    </row>
    <row r="107" spans="2:11" x14ac:dyDescent="0.2">
      <c r="B107" s="39">
        <v>1</v>
      </c>
      <c r="C107" s="73">
        <v>2</v>
      </c>
      <c r="D107" s="19">
        <v>3</v>
      </c>
    </row>
    <row r="108" spans="2:11" ht="33.75" x14ac:dyDescent="0.2">
      <c r="B108" s="47" t="s">
        <v>114</v>
      </c>
      <c r="C108" s="45">
        <f>39902919765.14</f>
        <v>39902919765.139999</v>
      </c>
      <c r="D108" s="28">
        <f>0</f>
        <v>0</v>
      </c>
    </row>
    <row r="109" spans="2:11" ht="33.75" x14ac:dyDescent="0.2">
      <c r="B109" s="86" t="s">
        <v>80</v>
      </c>
      <c r="C109" s="46">
        <f>1890639182.41</f>
        <v>1890639182.4100001</v>
      </c>
      <c r="D109" s="75">
        <f>0</f>
        <v>0</v>
      </c>
    </row>
    <row r="110" spans="2:11" x14ac:dyDescent="0.2">
      <c r="B110" s="86" t="s">
        <v>81</v>
      </c>
      <c r="C110" s="46">
        <f>19218996978.86</f>
        <v>19218996978.860001</v>
      </c>
      <c r="D110" s="75">
        <f>0</f>
        <v>0</v>
      </c>
    </row>
    <row r="111" spans="2:11" ht="22.5" x14ac:dyDescent="0.2">
      <c r="B111" s="86" t="s">
        <v>82</v>
      </c>
      <c r="C111" s="46">
        <f>0</f>
        <v>0</v>
      </c>
      <c r="D111" s="75">
        <f>0</f>
        <v>0</v>
      </c>
    </row>
    <row r="112" spans="2:11" ht="56.25" x14ac:dyDescent="0.2">
      <c r="B112" s="86" t="s">
        <v>100</v>
      </c>
      <c r="C112" s="46">
        <f>4164970422.12</f>
        <v>4164970422.1199999</v>
      </c>
      <c r="D112" s="75">
        <f>0</f>
        <v>0</v>
      </c>
    </row>
    <row r="113" spans="2:4" ht="78.75" x14ac:dyDescent="0.2">
      <c r="B113" s="86" t="s">
        <v>83</v>
      </c>
      <c r="C113" s="46">
        <f>9830581809.93</f>
        <v>9830581809.9300003</v>
      </c>
      <c r="D113" s="75">
        <f>0</f>
        <v>0</v>
      </c>
    </row>
    <row r="114" spans="2:4" ht="146.25" x14ac:dyDescent="0.2">
      <c r="B114" s="86" t="s">
        <v>102</v>
      </c>
      <c r="C114" s="46">
        <f>4139208967.27</f>
        <v>4139208967.27</v>
      </c>
      <c r="D114" s="75">
        <f>0</f>
        <v>0</v>
      </c>
    </row>
    <row r="115" spans="2:4" ht="22.5" x14ac:dyDescent="0.2">
      <c r="B115" s="86" t="s">
        <v>95</v>
      </c>
      <c r="C115" s="46">
        <f>116717843.81</f>
        <v>116717843.81</v>
      </c>
      <c r="D115" s="75">
        <f>0</f>
        <v>0</v>
      </c>
    </row>
    <row r="116" spans="2:4" ht="22.5" x14ac:dyDescent="0.2">
      <c r="B116" s="86" t="s">
        <v>111</v>
      </c>
      <c r="C116" s="46">
        <f>541804560.74</f>
        <v>541804560.74000001</v>
      </c>
      <c r="D116" s="75">
        <f>0</f>
        <v>0</v>
      </c>
    </row>
    <row r="118" spans="2:4" x14ac:dyDescent="0.2">
      <c r="B118" s="33" t="s">
        <v>66</v>
      </c>
      <c r="C118" s="33">
        <f>3</f>
        <v>3</v>
      </c>
      <c r="D118" s="33" t="str">
        <f>IF(C118=1,"I Kwartał",IF(C118=2,"II Kwartały",IF(C118=3,"III Kwartały",IF(C118=4,"IV Kwartały",IF(C118="M1","Styczeń",IF(C118="M11","Listopad",IF(C118="M12","Grudzień","-")))))))</f>
        <v>III Kwartały</v>
      </c>
    </row>
    <row r="119" spans="2:4" x14ac:dyDescent="0.2">
      <c r="B119" s="33" t="s">
        <v>67</v>
      </c>
      <c r="C119" s="89">
        <f>2024</f>
        <v>2024</v>
      </c>
    </row>
    <row r="120" spans="2:4" x14ac:dyDescent="0.2">
      <c r="B120" s="33" t="s">
        <v>68</v>
      </c>
      <c r="C120" s="97" t="str">
        <f>"Nov 14 2024 12:00AM"</f>
        <v>Nov 14 2024 12:00AM</v>
      </c>
      <c r="D120" s="98"/>
    </row>
  </sheetData>
  <mergeCells count="20">
    <mergeCell ref="B3:B4"/>
    <mergeCell ref="J4:L4"/>
    <mergeCell ref="B61:B64"/>
    <mergeCell ref="C4:I4"/>
    <mergeCell ref="D61:D63"/>
    <mergeCell ref="E61:E63"/>
    <mergeCell ref="C64:H64"/>
    <mergeCell ref="C85:D85"/>
    <mergeCell ref="F62:F63"/>
    <mergeCell ref="C120:D120"/>
    <mergeCell ref="C106:D106"/>
    <mergeCell ref="J85:K85"/>
    <mergeCell ref="J64:K64"/>
    <mergeCell ref="K61:K63"/>
    <mergeCell ref="I61:I63"/>
    <mergeCell ref="J61:J63"/>
    <mergeCell ref="F61:H61"/>
    <mergeCell ref="C61:C63"/>
    <mergeCell ref="G62:H62"/>
    <mergeCell ref="E84:I86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8" max="16383" man="1"/>
    <brk id="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2024-12-09T09:12:53Z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2024-12-09T10:12:52.1492158+01:00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GRN-6b27961d-ee98-4f05-b2c1-06d360024feb</vt:lpwstr>
  </property>
  <property fmtid="{D5CDD505-2E9C-101B-9397-08002B2CF9AE}" pid="7" name="MFHash">
    <vt:lpwstr>c2LJXJ+gfa5AAcY9P0iFMVvadCAl+8w1AzSrBYN3SXU=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