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'doch_wyd'!$A$1:$M$122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<sst xmlns="http://schemas.openxmlformats.org/spreadsheetml/2006/main" count="266" uniqueCount="115">
  <si>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</si>
  <si>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</si>
  <si>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</si>
  <si>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</si>
  <si>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</si>
  <si>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</si>
  <si>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</si>
  <si>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</si>
  <si>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</si>
  <si>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</si>
  <si>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</si>
  <si>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</si>
  <si>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</si>
  <si>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</si>
  <si>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</si>
  <si>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</si>
  <si>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</si>
  <si>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</si>
  <si>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</si>
  <si>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</si>
  <si>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</si>
  <si>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</si>
  <si>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</si>
  <si>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</si>
  <si>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</si>
  <si>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</si>
  <si>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</si>
  <si>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</si>
  <si>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</si>
  <si>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</si>
  <si>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</si>
  <si>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</si>
  <si>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</si>
  <si>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</si>
  <si>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kredyty i pożyczki w tym:</t>
  </si>
  <si>
    <t>nadwyżka z lat ubiegłych w tym:</t>
  </si>
  <si>
    <t>papiery wartościowe w tym:</t>
  </si>
  <si>
    <t>spłata pożyczek udzielonych</t>
  </si>
  <si>
    <t>prywatyzacja majątku jst</t>
  </si>
  <si>
    <t>spłaty kredytów i pożyczek w tym:</t>
  </si>
  <si>
    <t>pożyczki (udzielone)</t>
  </si>
  <si>
    <t>wykup papierów wartościowych w tym: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</si>
  <si>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</si>
  <si>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</si>
  <si>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</si>
  <si>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</si>
  <si>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</si>
  <si>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</si>
  <si>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</si>
  <si>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</si>
  <si>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</si>
  <si>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</si>
  <si>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</si>
  <si>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</si>
  <si>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</si>
  <si>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</si>
  <si>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</si>
  <si>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</si>
  <si>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</si>
  <si>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</si>
  <si>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</si>
  <si>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</si>
  <si>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</si>
  <si>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</si>
  <si>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</si>
  <si>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</si>
  <si>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</si>
  <si>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</si>
  <si>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</si>
  <si>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</si>
  <si>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</si>
  <si>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</si>
  <si>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</si>
  <si>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</si>
  <si>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</si>
  <si>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</si>
  <si>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</si>
  <si>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</si>
  <si>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</si>
  <si>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</si>
  <si>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z tego:</t>
  </si>
  <si>
    <t>świadczenia na rzecz osób fizycznych</t>
  </si>
  <si>
    <r>
      <t xml:space="preserve">Dotacje </t>
    </r>
    <r>
      <rPr>
        <b/>
        <sz val="10"/>
        <color indexed="8"/>
        <rFont val="Arial"/>
        <family val="0"/>
      </rPr>
      <t>§§ 200 i 620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</si>
  <si>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620</t>
    </r>
  </si>
  <si>
    <t>na realizację programów i projektów realizowanych z udziałem środków, o których mowa w art. 5 ust 1 pkt 2 ustawy o finansach publicznych</t>
  </si>
  <si>
    <t>majątkowe</t>
  </si>
  <si>
    <t>bieżące</t>
  </si>
  <si>
    <t>Dochody bieżące minus                  wydatki bieżące</t>
  </si>
  <si>
    <t>UE</t>
  </si>
  <si>
    <t>Wydatki ogółem UE        z tego:</t>
  </si>
  <si>
    <t>wydatki majątkowe</t>
  </si>
  <si>
    <t>wydatki bieżące</t>
  </si>
  <si>
    <t>w złotych</t>
  </si>
  <si>
    <t>z tytułu pomocy finansowej udzielanej między jst na dofinansowanie własnych zadań</t>
  </si>
  <si>
    <t>na pokrycie deficytu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</si>
  <si>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</si>
  <si>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</si>
  <si>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</si>
  <si>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</si>
  <si>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</si>
  <si>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</si>
  <si>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</si>
  <si>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</si>
  <si>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</si>
  <si>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</si>
  <si>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</si>
  <si>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</si>
  <si>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</si>
  <si>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</si>
  <si>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</si>
  <si>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Kwota wydatków bieżących ponoszonych na spłatę przejętych zobowiązań samodzielnego publicznego zakładu opieki zdrowotnej przekształconego na zasadach określonych w ustawie o działalności leczniczej</t>
  </si>
  <si>
    <r>
      <t xml:space="preserve">Dotacje </t>
    </r>
    <r>
      <rPr>
        <b/>
        <sz val="10"/>
        <color indexed="8"/>
        <rFont val="Arial"/>
        <family val="0"/>
      </rPr>
      <t>§§ 205 i 625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</si>
  <si>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625</t>
    </r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</si>
  <si>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</si>
  <si>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 xml:space="preserve">Informacja z wykonania budżetów gmin za I Kwartał 2018 rok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</si>
</sst>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[$-415]d\ mmmm\ yyyy"/>
    <numFmt numFmtId="169" formatCode="dd/mm/yy\ h:mm;@"/>
    <numFmt numFmtId="170" formatCode="yyyy/mm/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5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0" xfId="0" applyNumberFormat="1" applyFont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1"/>
    </xf>
    <xf numFmtId="164" fontId="13" fillId="34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12" fillId="34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12" fillId="34" borderId="10" xfId="42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 wrapText="1" indent="1"/>
    </xf>
    <xf numFmtId="164" fontId="6" fillId="0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right" vertical="center"/>
    </xf>
    <xf numFmtId="4" fontId="12" fillId="34" borderId="12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34" borderId="12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left" vertical="center" wrapText="1"/>
    </xf>
    <xf numFmtId="4" fontId="13" fillId="35" borderId="10" xfId="0" applyNumberFormat="1" applyFont="1" applyFill="1" applyBorder="1" applyAlignment="1">
      <alignment horizontal="right" vertical="center"/>
    </xf>
    <xf numFmtId="164" fontId="13" fillId="35" borderId="10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6" borderId="12" xfId="0" applyNumberFormat="1" applyFont="1" applyFill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35" borderId="12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7" fillId="35" borderId="12" xfId="0" applyNumberFormat="1" applyFont="1" applyFill="1" applyBorder="1" applyAlignment="1">
      <alignment horizontal="right" vertical="center"/>
    </xf>
    <xf numFmtId="164" fontId="12" fillId="36" borderId="10" xfId="42" applyNumberFormat="1" applyFont="1" applyFill="1" applyBorder="1" applyAlignment="1">
      <alignment horizontal="right" vertical="center"/>
    </xf>
    <xf numFmtId="164" fontId="12" fillId="36" borderId="10" xfId="0" applyNumberFormat="1" applyFont="1" applyFill="1" applyBorder="1" applyAlignment="1">
      <alignment horizontal="right" vertical="center"/>
    </xf>
    <xf numFmtId="164" fontId="12" fillId="35" borderId="10" xfId="42" applyNumberFormat="1" applyFont="1" applyFill="1" applyBorder="1" applyAlignment="1">
      <alignment horizontal="right" vertical="center"/>
    </xf>
    <xf numFmtId="164" fontId="12" fillId="35" borderId="10" xfId="0" applyNumberFormat="1" applyFont="1" applyFill="1" applyBorder="1" applyAlignment="1">
      <alignment horizontal="right" vertical="center"/>
    </xf>
    <xf numFmtId="0" fontId="52" fillId="0" borderId="10" xfId="52" applyFont="1" applyBorder="1" applyAlignment="1">
      <alignment horizontal="left" vertical="top" wrapText="1"/>
      <protection/>
    </xf>
    <xf numFmtId="0" fontId="11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2" fillId="35" borderId="10" xfId="52" applyFont="1" applyFill="1" applyBorder="1" applyAlignment="1">
      <alignment horizontal="left" vertical="top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2"/>
    </xf>
    <xf numFmtId="164" fontId="5" fillId="35" borderId="10" xfId="0" applyNumberFormat="1" applyFont="1" applyFill="1" applyBorder="1" applyAlignment="1">
      <alignment horizontal="right" vertical="center"/>
    </xf>
    <xf numFmtId="164" fontId="6" fillId="35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 indent="1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164" fontId="12" fillId="0" borderId="10" xfId="42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/>
    </xf>
    <xf numFmtId="0" fontId="52" fillId="0" borderId="10" xfId="52" applyFont="1" applyFill="1" applyBorder="1" applyAlignment="1">
      <alignment horizontal="left" vertical="top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13" fillId="34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13" fillId="37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37" borderId="10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164" fontId="12" fillId="0" borderId="10" xfId="42" applyNumberFormat="1" applyFont="1" applyFill="1" applyBorder="1" applyAlignment="1">
      <alignment horizontal="right" vertical="top" wrapText="1"/>
    </xf>
    <xf numFmtId="164" fontId="12" fillId="0" borderId="10" xfId="0" applyNumberFormat="1" applyFont="1" applyFill="1" applyBorder="1" applyAlignment="1">
      <alignment horizontal="righ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21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8" width="11.875" style="1" customWidth="1"/>
    <col min="9" max="9" width="13.00390625" style="1" customWidth="1"/>
    <col min="10" max="10" width="12.75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29.25" customHeight="1">
      <c r="B1" s="101" t="s">
        <v>114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12.75"/>
    <row r="3" spans="2:13" ht="66.75" customHeight="1">
      <c r="B3" s="102" t="s">
        <v>0</v>
      </c>
      <c r="C3" s="15" t="s">
        <v>45</v>
      </c>
      <c r="D3" s="15" t="s">
        <v>46</v>
      </c>
      <c r="E3" s="15" t="s">
        <v>47</v>
      </c>
      <c r="F3" s="15" t="s">
        <v>48</v>
      </c>
      <c r="G3" s="15" t="s">
        <v>49</v>
      </c>
      <c r="H3" s="15" t="s">
        <v>50</v>
      </c>
      <c r="I3" s="15" t="s">
        <v>51</v>
      </c>
      <c r="J3" s="15" t="s">
        <v>52</v>
      </c>
      <c r="K3" s="17" t="s">
        <v>2</v>
      </c>
      <c r="L3" s="15" t="s">
        <v>18</v>
      </c>
      <c r="M3" s="15" t="s">
        <v>3</v>
      </c>
    </row>
    <row r="4" spans="2:13" ht="12.75">
      <c r="B4" s="102"/>
      <c r="C4" s="97" t="s">
        <v>92</v>
      </c>
      <c r="D4" s="97"/>
      <c r="E4" s="97"/>
      <c r="F4" s="97"/>
      <c r="G4" s="97"/>
      <c r="H4" s="97"/>
      <c r="I4" s="97"/>
      <c r="J4" s="97"/>
      <c r="K4" s="97" t="s">
        <v>4</v>
      </c>
      <c r="L4" s="97"/>
      <c r="M4" s="97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25.5" customHeight="1">
      <c r="B6" s="53" t="s">
        <v>5</v>
      </c>
      <c r="C6" s="54">
        <f>120069970918.89</f>
        <v>120069970918.89</v>
      </c>
      <c r="D6" s="54">
        <f>31364086112.03</f>
        <v>31364086112.03</v>
      </c>
      <c r="E6" s="54">
        <f>28974791187.6</f>
        <v>28974791187.6</v>
      </c>
      <c r="F6" s="54">
        <f>721249266.76</f>
        <v>721249266.76</v>
      </c>
      <c r="G6" s="54">
        <f>170233416.78</f>
        <v>170233416.78</v>
      </c>
      <c r="H6" s="54">
        <f>23222101.03</f>
        <v>23222101.03</v>
      </c>
      <c r="I6" s="54">
        <f>74714904.59</f>
        <v>74714904.59</v>
      </c>
      <c r="J6" s="54">
        <f>115001.06</f>
        <v>115001.06</v>
      </c>
      <c r="K6" s="55">
        <f aca="true" t="shared" si="0" ref="K6:K49">IF($D$6=0,"",100*$D6/$D$6)</f>
        <v>100</v>
      </c>
      <c r="L6" s="55">
        <f aca="true" t="shared" si="1" ref="L6:L45">IF(C6=0,"",100*D6/C6)</f>
        <v>26.12150721117202</v>
      </c>
      <c r="M6" s="55"/>
    </row>
    <row r="7" spans="2:13" ht="25.5" customHeight="1">
      <c r="B7" s="20" t="s">
        <v>72</v>
      </c>
      <c r="C7" s="26">
        <f>C6-C22-C40</f>
        <v>51261384426.43001</v>
      </c>
      <c r="D7" s="26">
        <f>D6-D22-D40</f>
        <v>13490635789.009998</v>
      </c>
      <c r="E7" s="26">
        <f>E6-E22-E40</f>
        <v>12609941118.079996</v>
      </c>
      <c r="F7" s="26">
        <f>F6</f>
        <v>721249266.76</v>
      </c>
      <c r="G7" s="26">
        <f>G6</f>
        <v>170233416.78</v>
      </c>
      <c r="H7" s="26">
        <f>H6</f>
        <v>23222101.03</v>
      </c>
      <c r="I7" s="26">
        <f>I6</f>
        <v>74714904.59</v>
      </c>
      <c r="J7" s="26">
        <f>J6</f>
        <v>115001.06</v>
      </c>
      <c r="K7" s="34">
        <f t="shared" si="0"/>
        <v>43.01300455821518</v>
      </c>
      <c r="L7" s="34">
        <f t="shared" si="1"/>
        <v>26.317345775886462</v>
      </c>
      <c r="M7" s="34">
        <f aca="true" t="shared" si="2" ref="M7:M21">IF($D$7=0,"",100*$D7/$D$7)</f>
        <v>100</v>
      </c>
    </row>
    <row r="8" spans="2:13" ht="22.5" customHeight="1">
      <c r="B8" s="33" t="s">
        <v>43</v>
      </c>
      <c r="C8" s="25">
        <f>846542237.16</f>
        <v>846542237.16</v>
      </c>
      <c r="D8" s="25">
        <f>254859846.03</f>
        <v>254859846.03</v>
      </c>
      <c r="E8" s="25">
        <f>238685080.43</f>
        <v>238685080.43</v>
      </c>
      <c r="F8" s="25">
        <f>0</f>
        <v>0</v>
      </c>
      <c r="G8" s="25">
        <f>0</f>
        <v>0</v>
      </c>
      <c r="H8" s="25">
        <f>0</f>
        <v>0</v>
      </c>
      <c r="I8" s="25">
        <f>0</f>
        <v>0</v>
      </c>
      <c r="J8" s="25">
        <f>0</f>
        <v>0</v>
      </c>
      <c r="K8" s="35">
        <f t="shared" si="0"/>
        <v>0.8125849582215183</v>
      </c>
      <c r="L8" s="35">
        <f t="shared" si="1"/>
        <v>30.105981112650667</v>
      </c>
      <c r="M8" s="35">
        <f t="shared" si="2"/>
        <v>1.8891611189860957</v>
      </c>
    </row>
    <row r="9" spans="2:13" ht="22.5" customHeight="1">
      <c r="B9" s="33" t="s">
        <v>19</v>
      </c>
      <c r="C9" s="25">
        <f>19598293077.22</f>
        <v>19598293077.22</v>
      </c>
      <c r="D9" s="25">
        <f>4654441862</f>
        <v>4654441862</v>
      </c>
      <c r="E9" s="25">
        <f>3801610794.51</f>
        <v>3801610794.51</v>
      </c>
      <c r="F9" s="25">
        <f>0</f>
        <v>0</v>
      </c>
      <c r="G9" s="25">
        <f>0</f>
        <v>0</v>
      </c>
      <c r="H9" s="25">
        <f>0</f>
        <v>0</v>
      </c>
      <c r="I9" s="25">
        <f>0</f>
        <v>0</v>
      </c>
      <c r="J9" s="25">
        <f>0</f>
        <v>0</v>
      </c>
      <c r="K9" s="35">
        <f t="shared" si="0"/>
        <v>14.840036611858249</v>
      </c>
      <c r="L9" s="35">
        <f t="shared" si="1"/>
        <v>23.74922062682118</v>
      </c>
      <c r="M9" s="35">
        <f t="shared" si="2"/>
        <v>34.50127877436059</v>
      </c>
    </row>
    <row r="10" spans="2:13" ht="13.5" customHeight="1">
      <c r="B10" s="33" t="s">
        <v>20</v>
      </c>
      <c r="C10" s="25">
        <f>1500475485.13</f>
        <v>1500475485.13</v>
      </c>
      <c r="D10" s="25">
        <f>523264526.92</f>
        <v>523264526.92</v>
      </c>
      <c r="E10" s="25">
        <f>523130181.34</f>
        <v>523130181.34</v>
      </c>
      <c r="F10" s="25">
        <f>31539378.21</f>
        <v>31539378.21</v>
      </c>
      <c r="G10" s="25">
        <f>230634.33</f>
        <v>230634.33</v>
      </c>
      <c r="H10" s="25">
        <f>954386.95</f>
        <v>954386.95</v>
      </c>
      <c r="I10" s="25">
        <f>2154001</f>
        <v>2154001</v>
      </c>
      <c r="J10" s="25">
        <f>742.11</f>
        <v>742.11</v>
      </c>
      <c r="K10" s="35">
        <f t="shared" si="0"/>
        <v>1.6683557271553875</v>
      </c>
      <c r="L10" s="35">
        <f t="shared" si="1"/>
        <v>34.87324732097604</v>
      </c>
      <c r="M10" s="35">
        <f t="shared" si="2"/>
        <v>3.878723991246371</v>
      </c>
    </row>
    <row r="11" spans="2:13" ht="13.5" customHeight="1">
      <c r="B11" s="33" t="s">
        <v>21</v>
      </c>
      <c r="C11" s="25">
        <f>13641548081.96</f>
        <v>13641548081.96</v>
      </c>
      <c r="D11" s="71">
        <f>3973958148.94</f>
        <v>3973958148.94</v>
      </c>
      <c r="E11" s="25">
        <f>3973285379.74</f>
        <v>3973285379.74</v>
      </c>
      <c r="F11" s="25">
        <f>502093862.52</f>
        <v>502093862.52</v>
      </c>
      <c r="G11" s="25">
        <f>167957708.19</f>
        <v>167957708.19</v>
      </c>
      <c r="H11" s="25">
        <f>16845734.61</f>
        <v>16845734.61</v>
      </c>
      <c r="I11" s="25">
        <f>56939407.12</f>
        <v>56939407.12</v>
      </c>
      <c r="J11" s="25">
        <f>97083.82</f>
        <v>97083.82</v>
      </c>
      <c r="K11" s="35">
        <f t="shared" si="0"/>
        <v>12.670409508331728</v>
      </c>
      <c r="L11" s="35">
        <f t="shared" si="1"/>
        <v>29.131284257944916</v>
      </c>
      <c r="M11" s="35">
        <f t="shared" si="2"/>
        <v>29.457159848443485</v>
      </c>
    </row>
    <row r="12" spans="2:13" ht="13.5" customHeight="1">
      <c r="B12" s="33" t="s">
        <v>22</v>
      </c>
      <c r="C12" s="25">
        <f>292740953.91</f>
        <v>292740953.91</v>
      </c>
      <c r="D12" s="71">
        <f>94110994.82</f>
        <v>94110994.82</v>
      </c>
      <c r="E12" s="25">
        <f>94086977.37</f>
        <v>94086977.37</v>
      </c>
      <c r="F12" s="25">
        <f>1217233.97</f>
        <v>1217233.97</v>
      </c>
      <c r="G12" s="25">
        <f>306885.54</f>
        <v>306885.54</v>
      </c>
      <c r="H12" s="25">
        <f>60203.7</f>
        <v>60203.7</v>
      </c>
      <c r="I12" s="25">
        <f>24053.8</f>
        <v>24053.8</v>
      </c>
      <c r="J12" s="25">
        <f>15.36</f>
        <v>15.36</v>
      </c>
      <c r="K12" s="35">
        <f t="shared" si="0"/>
        <v>0.3000597386572753</v>
      </c>
      <c r="L12" s="35">
        <f t="shared" si="1"/>
        <v>32.14821621744574</v>
      </c>
      <c r="M12" s="35">
        <f t="shared" si="2"/>
        <v>0.6976023687235446</v>
      </c>
    </row>
    <row r="13" spans="2:13" ht="22.5" customHeight="1">
      <c r="B13" s="33" t="s">
        <v>23</v>
      </c>
      <c r="C13" s="25">
        <f>760588430.63</f>
        <v>760588430.63</v>
      </c>
      <c r="D13" s="71">
        <f>336051537.97</f>
        <v>336051537.97</v>
      </c>
      <c r="E13" s="25">
        <f>336035005.08</f>
        <v>336035005.08</v>
      </c>
      <c r="F13" s="25">
        <f>182514527.36</f>
        <v>182514527.36</v>
      </c>
      <c r="G13" s="25">
        <f>1003165.39</f>
        <v>1003165.39</v>
      </c>
      <c r="H13" s="25">
        <f>908707.2</f>
        <v>908707.2</v>
      </c>
      <c r="I13" s="25">
        <f>7747275.29</f>
        <v>7747275.29</v>
      </c>
      <c r="J13" s="25">
        <f>14196.47</f>
        <v>14196.47</v>
      </c>
      <c r="K13" s="35">
        <f t="shared" si="0"/>
        <v>1.0714533073581385</v>
      </c>
      <c r="L13" s="35">
        <f t="shared" si="1"/>
        <v>44.18309882673952</v>
      </c>
      <c r="M13" s="35">
        <f t="shared" si="2"/>
        <v>2.4909985209426586</v>
      </c>
    </row>
    <row r="14" spans="2:13" ht="33" customHeight="1">
      <c r="B14" s="33" t="s">
        <v>54</v>
      </c>
      <c r="C14" s="25">
        <f>38346927.68</f>
        <v>38346927.68</v>
      </c>
      <c r="D14" s="71">
        <f>5198635.11</f>
        <v>5198635.11</v>
      </c>
      <c r="E14" s="25">
        <f>5294218.52</f>
        <v>5294218.52</v>
      </c>
      <c r="F14" s="25">
        <f>0</f>
        <v>0</v>
      </c>
      <c r="G14" s="25">
        <f>0</f>
        <v>0</v>
      </c>
      <c r="H14" s="25">
        <f>5173.26</f>
        <v>5173.26</v>
      </c>
      <c r="I14" s="25">
        <f>65417.54</f>
        <v>65417.54</v>
      </c>
      <c r="J14" s="25">
        <f>0</f>
        <v>0</v>
      </c>
      <c r="K14" s="35">
        <f t="shared" si="0"/>
        <v>0.016575120637760312</v>
      </c>
      <c r="L14" s="35">
        <f t="shared" si="1"/>
        <v>13.556849073756098</v>
      </c>
      <c r="M14" s="35">
        <f t="shared" si="2"/>
        <v>0.03853513793793924</v>
      </c>
    </row>
    <row r="15" spans="2:13" ht="22.5" customHeight="1">
      <c r="B15" s="33" t="s">
        <v>28</v>
      </c>
      <c r="C15" s="25">
        <f>102210078.44</f>
        <v>102210078.44</v>
      </c>
      <c r="D15" s="71">
        <f>30075797.85</f>
        <v>30075797.85</v>
      </c>
      <c r="E15" s="25">
        <f>30032049.2</f>
        <v>30032049.2</v>
      </c>
      <c r="F15" s="25">
        <f>0</f>
        <v>0</v>
      </c>
      <c r="G15" s="25">
        <f>3551</f>
        <v>3551</v>
      </c>
      <c r="H15" s="25">
        <f>1275691.89</f>
        <v>1275691.89</v>
      </c>
      <c r="I15" s="25">
        <f>2227429.82</f>
        <v>2227429.82</v>
      </c>
      <c r="J15" s="25">
        <f>0</f>
        <v>0</v>
      </c>
      <c r="K15" s="35">
        <f t="shared" si="0"/>
        <v>0.09589247313813533</v>
      </c>
      <c r="L15" s="35">
        <f t="shared" si="1"/>
        <v>29.425471840974357</v>
      </c>
      <c r="M15" s="35">
        <f t="shared" si="2"/>
        <v>0.22293832789186205</v>
      </c>
    </row>
    <row r="16" spans="2:13" ht="22.5" customHeight="1">
      <c r="B16" s="33" t="s">
        <v>29</v>
      </c>
      <c r="C16" s="25">
        <f>864146828.96</f>
        <v>864146828.96</v>
      </c>
      <c r="D16" s="71">
        <f>270748302.11</f>
        <v>270748302.11</v>
      </c>
      <c r="E16" s="25">
        <f>270489364.62</f>
        <v>270489364.62</v>
      </c>
      <c r="F16" s="25">
        <f>0</f>
        <v>0</v>
      </c>
      <c r="G16" s="25">
        <f>0</f>
        <v>0</v>
      </c>
      <c r="H16" s="25">
        <f>42771.75</f>
        <v>42771.75</v>
      </c>
      <c r="I16" s="25">
        <f>363088.76</f>
        <v>363088.76</v>
      </c>
      <c r="J16" s="25">
        <f>0</f>
        <v>0</v>
      </c>
      <c r="K16" s="35">
        <f t="shared" si="0"/>
        <v>0.8632430772664913</v>
      </c>
      <c r="L16" s="35">
        <f t="shared" si="1"/>
        <v>31.331284572998474</v>
      </c>
      <c r="M16" s="35">
        <f t="shared" si="2"/>
        <v>2.006935079594708</v>
      </c>
    </row>
    <row r="17" spans="2:13" ht="13.5" customHeight="1">
      <c r="B17" s="33" t="s">
        <v>30</v>
      </c>
      <c r="C17" s="25">
        <f>170691943.87</f>
        <v>170691943.87</v>
      </c>
      <c r="D17" s="71">
        <f>44776427.18</f>
        <v>44776427.18</v>
      </c>
      <c r="E17" s="25">
        <f>44758419.24</f>
        <v>44758419.24</v>
      </c>
      <c r="F17" s="25">
        <f>0</f>
        <v>0</v>
      </c>
      <c r="G17" s="25">
        <f>0</f>
        <v>0</v>
      </c>
      <c r="H17" s="25">
        <f>459</f>
        <v>459</v>
      </c>
      <c r="I17" s="25">
        <f>3565</f>
        <v>3565</v>
      </c>
      <c r="J17" s="25">
        <f>0</f>
        <v>0</v>
      </c>
      <c r="K17" s="35">
        <f t="shared" si="0"/>
        <v>0.14276337279543933</v>
      </c>
      <c r="L17" s="35">
        <f t="shared" si="1"/>
        <v>26.23230257082431</v>
      </c>
      <c r="M17" s="35">
        <f t="shared" si="2"/>
        <v>0.33190746440932484</v>
      </c>
    </row>
    <row r="18" spans="2:13" ht="22.5" customHeight="1">
      <c r="B18" s="33" t="s">
        <v>31</v>
      </c>
      <c r="C18" s="25">
        <f>364707839.3</f>
        <v>364707839.3</v>
      </c>
      <c r="D18" s="71">
        <f>188098272.89</f>
        <v>188098272.89</v>
      </c>
      <c r="E18" s="25">
        <f>188102981.09</f>
        <v>188102981.09</v>
      </c>
      <c r="F18" s="25">
        <f>0</f>
        <v>0</v>
      </c>
      <c r="G18" s="25">
        <f>0</f>
        <v>0</v>
      </c>
      <c r="H18" s="25">
        <f>0</f>
        <v>0</v>
      </c>
      <c r="I18" s="25">
        <f>913529.76</f>
        <v>913529.76</v>
      </c>
      <c r="J18" s="25">
        <f>0</f>
        <v>0</v>
      </c>
      <c r="K18" s="35">
        <f t="shared" si="0"/>
        <v>0.5997250237680386</v>
      </c>
      <c r="L18" s="35">
        <f t="shared" si="1"/>
        <v>51.57505614659268</v>
      </c>
      <c r="M18" s="35">
        <f t="shared" si="2"/>
        <v>1.3942876809648381</v>
      </c>
    </row>
    <row r="19" spans="2:13" ht="13.5" customHeight="1">
      <c r="B19" s="33" t="s">
        <v>32</v>
      </c>
      <c r="C19" s="25">
        <f>126432006.62</f>
        <v>126432006.62</v>
      </c>
      <c r="D19" s="71">
        <f>16577513.98</f>
        <v>16577513.98</v>
      </c>
      <c r="E19" s="25">
        <f>16571322.18</f>
        <v>16571322.18</v>
      </c>
      <c r="F19" s="25">
        <f>558150.12</f>
        <v>558150.12</v>
      </c>
      <c r="G19" s="25">
        <f>0</f>
        <v>0</v>
      </c>
      <c r="H19" s="25">
        <f>11736.34</f>
        <v>11736.34</v>
      </c>
      <c r="I19" s="25">
        <f>0</f>
        <v>0</v>
      </c>
      <c r="J19" s="25">
        <f>0</f>
        <v>0</v>
      </c>
      <c r="K19" s="35">
        <f t="shared" si="0"/>
        <v>0.05285508374382869</v>
      </c>
      <c r="L19" s="35">
        <f t="shared" si="1"/>
        <v>13.111801689444704</v>
      </c>
      <c r="M19" s="35">
        <f t="shared" si="2"/>
        <v>0.1228816361161028</v>
      </c>
    </row>
    <row r="20" spans="2:13" ht="13.5" customHeight="1">
      <c r="B20" s="33" t="s">
        <v>24</v>
      </c>
      <c r="C20" s="25">
        <f>3742353015.68</f>
        <v>3742353015.68</v>
      </c>
      <c r="D20" s="71">
        <f>697001586.09</f>
        <v>697001586.09</v>
      </c>
      <c r="E20" s="25">
        <f>699620406.78</f>
        <v>699620406.78</v>
      </c>
      <c r="F20" s="25">
        <f>0</f>
        <v>0</v>
      </c>
      <c r="G20" s="25">
        <f>5752.17</f>
        <v>5752.17</v>
      </c>
      <c r="H20" s="25">
        <f>0</f>
        <v>0</v>
      </c>
      <c r="I20" s="25">
        <f>167155.5</f>
        <v>167155.5</v>
      </c>
      <c r="J20" s="25">
        <f>0</f>
        <v>0</v>
      </c>
      <c r="K20" s="35">
        <f t="shared" si="0"/>
        <v>2.2222920304464355</v>
      </c>
      <c r="L20" s="35">
        <f t="shared" si="1"/>
        <v>18.62468834900526</v>
      </c>
      <c r="M20" s="35">
        <f t="shared" si="2"/>
        <v>5.166558470563744</v>
      </c>
    </row>
    <row r="21" spans="2:13" ht="13.5" customHeight="1">
      <c r="B21" s="33" t="s">
        <v>25</v>
      </c>
      <c r="C21" s="25">
        <f>C7-C8-C9-C10-C11-C12-C13-C14-C15-C16-C17-C18-C19-C20</f>
        <v>9212307519.870003</v>
      </c>
      <c r="D21" s="25">
        <f aca="true" t="shared" si="3" ref="D21:J21">D7-D8-D9-D10-D11-D12-D13-D14-D15-D16-D17-D18-D19-D20</f>
        <v>2401472337.119997</v>
      </c>
      <c r="E21" s="25">
        <f t="shared" si="3"/>
        <v>2388238937.9799967</v>
      </c>
      <c r="F21" s="25">
        <f t="shared" si="3"/>
        <v>3326114.579999958</v>
      </c>
      <c r="G21" s="25">
        <f t="shared" si="3"/>
        <v>725720.1599999904</v>
      </c>
      <c r="H21" s="25">
        <f t="shared" si="3"/>
        <v>3117236.330000003</v>
      </c>
      <c r="I21" s="25">
        <f t="shared" si="3"/>
        <v>4109981.0000000056</v>
      </c>
      <c r="J21" s="25">
        <f t="shared" si="3"/>
        <v>2963.29999999999</v>
      </c>
      <c r="K21" s="35">
        <f t="shared" si="0"/>
        <v>7.656758524836753</v>
      </c>
      <c r="L21" s="35">
        <f t="shared" si="1"/>
        <v>26.068086979730836</v>
      </c>
      <c r="M21" s="35">
        <f t="shared" si="2"/>
        <v>17.801031579818726</v>
      </c>
    </row>
    <row r="22" spans="2:13" ht="26.25" customHeight="1">
      <c r="B22" s="53" t="s">
        <v>80</v>
      </c>
      <c r="C22" s="54">
        <f>C23+C36+C38</f>
        <v>40644153200.48</v>
      </c>
      <c r="D22" s="54">
        <f>D23+D36+D38</f>
        <v>8075433078.02</v>
      </c>
      <c r="E22" s="54">
        <f>E23+E36+E38</f>
        <v>8060652295.690001</v>
      </c>
      <c r="F22" s="45" t="s">
        <v>71</v>
      </c>
      <c r="G22" s="45" t="s">
        <v>71</v>
      </c>
      <c r="H22" s="45" t="s">
        <v>71</v>
      </c>
      <c r="I22" s="45" t="s">
        <v>71</v>
      </c>
      <c r="J22" s="45" t="s">
        <v>71</v>
      </c>
      <c r="K22" s="55">
        <f t="shared" si="0"/>
        <v>25.747388427563937</v>
      </c>
      <c r="L22" s="55">
        <f t="shared" si="1"/>
        <v>19.868621787215954</v>
      </c>
      <c r="M22" s="29"/>
    </row>
    <row r="23" spans="2:13" ht="25.5" customHeight="1">
      <c r="B23" s="53" t="s">
        <v>73</v>
      </c>
      <c r="C23" s="54">
        <f>C24+C26+C28+C30+C32+C34</f>
        <v>30314708743.18</v>
      </c>
      <c r="D23" s="54">
        <f>D24+D26+D28+D30+D32+D34</f>
        <v>7409552147.13</v>
      </c>
      <c r="E23" s="54">
        <f>E24+E26+E28+E30+E32+E34</f>
        <v>7399817603.05</v>
      </c>
      <c r="F23" s="45" t="s">
        <v>71</v>
      </c>
      <c r="G23" s="45" t="s">
        <v>71</v>
      </c>
      <c r="H23" s="45" t="s">
        <v>71</v>
      </c>
      <c r="I23" s="45" t="s">
        <v>71</v>
      </c>
      <c r="J23" s="45" t="s">
        <v>71</v>
      </c>
      <c r="K23" s="55">
        <f t="shared" si="0"/>
        <v>23.624320251716163</v>
      </c>
      <c r="L23" s="55">
        <f t="shared" si="1"/>
        <v>24.442102379746437</v>
      </c>
      <c r="M23" s="29"/>
    </row>
    <row r="24" spans="2:13" ht="22.5" customHeight="1">
      <c r="B24" s="33" t="s">
        <v>9</v>
      </c>
      <c r="C24" s="25">
        <f>26299392649.59</f>
        <v>26299392649.59</v>
      </c>
      <c r="D24" s="25">
        <f>6835953401.37</f>
        <v>6835953401.37</v>
      </c>
      <c r="E24" s="25">
        <f>6828021872.38</f>
        <v>6828021872.38</v>
      </c>
      <c r="F24" s="25" t="s">
        <v>71</v>
      </c>
      <c r="G24" s="25" t="s">
        <v>71</v>
      </c>
      <c r="H24" s="25" t="s">
        <v>71</v>
      </c>
      <c r="I24" s="25" t="s">
        <v>71</v>
      </c>
      <c r="J24" s="25" t="s">
        <v>71</v>
      </c>
      <c r="K24" s="35">
        <f t="shared" si="0"/>
        <v>21.795480910722294</v>
      </c>
      <c r="L24" s="35">
        <f t="shared" si="1"/>
        <v>25.992818512774935</v>
      </c>
      <c r="M24" s="29"/>
    </row>
    <row r="25" spans="2:13" ht="13.5" customHeight="1">
      <c r="B25" s="72" t="s">
        <v>6</v>
      </c>
      <c r="C25" s="25">
        <f>1252222</f>
        <v>1252222</v>
      </c>
      <c r="D25" s="25">
        <f>0</f>
        <v>0</v>
      </c>
      <c r="E25" s="25">
        <f>0</f>
        <v>0</v>
      </c>
      <c r="F25" s="25" t="s">
        <v>71</v>
      </c>
      <c r="G25" s="25" t="s">
        <v>71</v>
      </c>
      <c r="H25" s="25" t="s">
        <v>71</v>
      </c>
      <c r="I25" s="25" t="s">
        <v>71</v>
      </c>
      <c r="J25" s="25" t="s">
        <v>71</v>
      </c>
      <c r="K25" s="35">
        <f t="shared" si="0"/>
        <v>0</v>
      </c>
      <c r="L25" s="35">
        <f t="shared" si="1"/>
        <v>0</v>
      </c>
      <c r="M25" s="29"/>
    </row>
    <row r="26" spans="2:13" ht="13.5" customHeight="1">
      <c r="B26" s="33" t="s">
        <v>7</v>
      </c>
      <c r="C26" s="25">
        <f>2972535592</f>
        <v>2972535592</v>
      </c>
      <c r="D26" s="25">
        <f>460891252.47</f>
        <v>460891252.47</v>
      </c>
      <c r="E26" s="25">
        <f>459652519.66</f>
        <v>459652519.66</v>
      </c>
      <c r="F26" s="25" t="s">
        <v>71</v>
      </c>
      <c r="G26" s="25" t="s">
        <v>71</v>
      </c>
      <c r="H26" s="25" t="s">
        <v>71</v>
      </c>
      <c r="I26" s="25" t="s">
        <v>71</v>
      </c>
      <c r="J26" s="25" t="s">
        <v>71</v>
      </c>
      <c r="K26" s="35">
        <f t="shared" si="0"/>
        <v>1.46948726904949</v>
      </c>
      <c r="L26" s="35">
        <f t="shared" si="1"/>
        <v>15.504986843905215</v>
      </c>
      <c r="M26" s="29"/>
    </row>
    <row r="27" spans="2:13" ht="13.5" customHeight="1">
      <c r="B27" s="72" t="s">
        <v>6</v>
      </c>
      <c r="C27" s="25">
        <f>732907906.21</f>
        <v>732907906.21</v>
      </c>
      <c r="D27" s="25">
        <f>4246885.97</f>
        <v>4246885.97</v>
      </c>
      <c r="E27" s="25">
        <f>4235829.18</f>
        <v>4235829.18</v>
      </c>
      <c r="F27" s="25" t="s">
        <v>71</v>
      </c>
      <c r="G27" s="25" t="s">
        <v>71</v>
      </c>
      <c r="H27" s="25" t="s">
        <v>71</v>
      </c>
      <c r="I27" s="25" t="s">
        <v>71</v>
      </c>
      <c r="J27" s="25" t="s">
        <v>71</v>
      </c>
      <c r="K27" s="35">
        <f t="shared" si="0"/>
        <v>0.013540601676804686</v>
      </c>
      <c r="L27" s="35">
        <f t="shared" si="1"/>
        <v>0.5794569732453043</v>
      </c>
      <c r="M27" s="29"/>
    </row>
    <row r="28" spans="2:13" ht="33" customHeight="1">
      <c r="B28" s="33" t="s">
        <v>10</v>
      </c>
      <c r="C28" s="25">
        <f>15828438.21</f>
        <v>15828438.21</v>
      </c>
      <c r="D28" s="25">
        <f>1210344.6</f>
        <v>1210344.6</v>
      </c>
      <c r="E28" s="25">
        <f>1206856.76</f>
        <v>1206856.76</v>
      </c>
      <c r="F28" s="25" t="s">
        <v>71</v>
      </c>
      <c r="G28" s="25" t="s">
        <v>71</v>
      </c>
      <c r="H28" s="25" t="s">
        <v>71</v>
      </c>
      <c r="I28" s="25" t="s">
        <v>71</v>
      </c>
      <c r="J28" s="25" t="s">
        <v>71</v>
      </c>
      <c r="K28" s="35">
        <f t="shared" si="0"/>
        <v>0.003859014401620842</v>
      </c>
      <c r="L28" s="35">
        <f t="shared" si="1"/>
        <v>7.6466457646802795</v>
      </c>
      <c r="M28" s="29"/>
    </row>
    <row r="29" spans="2:13" ht="13.5" customHeight="1">
      <c r="B29" s="72" t="s">
        <v>6</v>
      </c>
      <c r="C29" s="25">
        <f>10287790</f>
        <v>10287790</v>
      </c>
      <c r="D29" s="25">
        <f>0</f>
        <v>0</v>
      </c>
      <c r="E29" s="25">
        <f>0</f>
        <v>0</v>
      </c>
      <c r="F29" s="25" t="s">
        <v>71</v>
      </c>
      <c r="G29" s="25" t="s">
        <v>71</v>
      </c>
      <c r="H29" s="25" t="s">
        <v>71</v>
      </c>
      <c r="I29" s="25" t="s">
        <v>71</v>
      </c>
      <c r="J29" s="25" t="s">
        <v>71</v>
      </c>
      <c r="K29" s="35">
        <f t="shared" si="0"/>
        <v>0</v>
      </c>
      <c r="L29" s="35">
        <f t="shared" si="1"/>
        <v>0</v>
      </c>
      <c r="M29" s="29"/>
    </row>
    <row r="30" spans="2:13" ht="33.75">
      <c r="B30" s="33" t="s">
        <v>11</v>
      </c>
      <c r="C30" s="25">
        <f>513884849.5</f>
        <v>513884849.5</v>
      </c>
      <c r="D30" s="25">
        <f>75167529.97</f>
        <v>75167529.97</v>
      </c>
      <c r="E30" s="25">
        <f>74616322.7</f>
        <v>74616322.7</v>
      </c>
      <c r="F30" s="25" t="s">
        <v>71</v>
      </c>
      <c r="G30" s="25" t="s">
        <v>71</v>
      </c>
      <c r="H30" s="25" t="s">
        <v>71</v>
      </c>
      <c r="I30" s="25" t="s">
        <v>71</v>
      </c>
      <c r="J30" s="25" t="s">
        <v>71</v>
      </c>
      <c r="K30" s="35">
        <f t="shared" si="0"/>
        <v>0.23966115161623908</v>
      </c>
      <c r="L30" s="35">
        <f t="shared" si="1"/>
        <v>14.627309998171098</v>
      </c>
      <c r="M30" s="29"/>
    </row>
    <row r="31" spans="2:13" ht="12.75">
      <c r="B31" s="72" t="s">
        <v>6</v>
      </c>
      <c r="C31" s="25">
        <f>267487613.82</f>
        <v>267487613.82</v>
      </c>
      <c r="D31" s="25">
        <f>14746902.03</f>
        <v>14746902.03</v>
      </c>
      <c r="E31" s="25">
        <f>14810817.2</f>
        <v>14810817.2</v>
      </c>
      <c r="F31" s="25" t="s">
        <v>71</v>
      </c>
      <c r="G31" s="25" t="s">
        <v>71</v>
      </c>
      <c r="H31" s="25" t="s">
        <v>71</v>
      </c>
      <c r="I31" s="25" t="s">
        <v>71</v>
      </c>
      <c r="J31" s="25" t="s">
        <v>71</v>
      </c>
      <c r="K31" s="35">
        <f t="shared" si="0"/>
        <v>0.04701843368662249</v>
      </c>
      <c r="L31" s="35">
        <f t="shared" si="1"/>
        <v>5.513115848393492</v>
      </c>
      <c r="M31" s="29"/>
    </row>
    <row r="32" spans="2:13" ht="45">
      <c r="B32" s="33" t="s">
        <v>93</v>
      </c>
      <c r="C32" s="25">
        <f>216460646.31</f>
        <v>216460646.31</v>
      </c>
      <c r="D32" s="25">
        <f>13380636.15</f>
        <v>13380636.15</v>
      </c>
      <c r="E32" s="25">
        <f>13371102.91</f>
        <v>13371102.91</v>
      </c>
      <c r="F32" s="25" t="s">
        <v>71</v>
      </c>
      <c r="G32" s="25" t="s">
        <v>71</v>
      </c>
      <c r="H32" s="25" t="s">
        <v>71</v>
      </c>
      <c r="I32" s="25" t="s">
        <v>71</v>
      </c>
      <c r="J32" s="25" t="s">
        <v>71</v>
      </c>
      <c r="K32" s="35">
        <f t="shared" si="0"/>
        <v>0.04266228610075053</v>
      </c>
      <c r="L32" s="35">
        <f t="shared" si="1"/>
        <v>6.181556037136273</v>
      </c>
      <c r="M32" s="29"/>
    </row>
    <row r="33" spans="2:13" ht="12.75">
      <c r="B33" s="72" t="s">
        <v>6</v>
      </c>
      <c r="C33" s="25">
        <f>197959788.51</f>
        <v>197959788.51</v>
      </c>
      <c r="D33" s="25">
        <f>7418913.41</f>
        <v>7418913.41</v>
      </c>
      <c r="E33" s="25">
        <f>7418913.41</f>
        <v>7418913.41</v>
      </c>
      <c r="F33" s="25" t="s">
        <v>71</v>
      </c>
      <c r="G33" s="25" t="s">
        <v>71</v>
      </c>
      <c r="H33" s="25" t="s">
        <v>71</v>
      </c>
      <c r="I33" s="25" t="s">
        <v>71</v>
      </c>
      <c r="J33" s="25" t="s">
        <v>71</v>
      </c>
      <c r="K33" s="35">
        <f t="shared" si="0"/>
        <v>0.023654167328517835</v>
      </c>
      <c r="L33" s="35">
        <f t="shared" si="1"/>
        <v>3.747687076168619</v>
      </c>
      <c r="M33" s="29"/>
    </row>
    <row r="34" spans="2:13" ht="22.5">
      <c r="B34" s="33" t="s">
        <v>8</v>
      </c>
      <c r="C34" s="25">
        <f>296606567.57</f>
        <v>296606567.57</v>
      </c>
      <c r="D34" s="25">
        <f>22948982.57</f>
        <v>22948982.57</v>
      </c>
      <c r="E34" s="25">
        <f>22948928.64</f>
        <v>22948928.64</v>
      </c>
      <c r="F34" s="25" t="s">
        <v>71</v>
      </c>
      <c r="G34" s="25" t="s">
        <v>71</v>
      </c>
      <c r="H34" s="25" t="s">
        <v>71</v>
      </c>
      <c r="I34" s="25" t="s">
        <v>71</v>
      </c>
      <c r="J34" s="25" t="s">
        <v>71</v>
      </c>
      <c r="K34" s="35">
        <f t="shared" si="0"/>
        <v>0.07316961982577166</v>
      </c>
      <c r="L34" s="35">
        <f t="shared" si="1"/>
        <v>7.737179509548107</v>
      </c>
      <c r="M34" s="29"/>
    </row>
    <row r="35" spans="2:13" ht="12.75">
      <c r="B35" s="32" t="s">
        <v>6</v>
      </c>
      <c r="C35" s="23">
        <f>278635977.35</f>
        <v>278635977.35</v>
      </c>
      <c r="D35" s="23">
        <f>17394593.99</f>
        <v>17394593.99</v>
      </c>
      <c r="E35" s="23">
        <f>17410203.99</f>
        <v>17410203.99</v>
      </c>
      <c r="F35" s="25" t="s">
        <v>71</v>
      </c>
      <c r="G35" s="25" t="s">
        <v>71</v>
      </c>
      <c r="H35" s="25" t="s">
        <v>71</v>
      </c>
      <c r="I35" s="25" t="s">
        <v>71</v>
      </c>
      <c r="J35" s="25" t="s">
        <v>71</v>
      </c>
      <c r="K35" s="35">
        <f t="shared" si="0"/>
        <v>0.055460229027136015</v>
      </c>
      <c r="L35" s="35">
        <f t="shared" si="1"/>
        <v>6.2427666934590835</v>
      </c>
      <c r="M35" s="29"/>
    </row>
    <row r="36" spans="2:13" ht="12.75">
      <c r="B36" s="53" t="s">
        <v>82</v>
      </c>
      <c r="C36" s="54">
        <f>2064070820.99</f>
        <v>2064070820.99</v>
      </c>
      <c r="D36" s="54">
        <f>129348300.16</f>
        <v>129348300.16</v>
      </c>
      <c r="E36" s="54">
        <f>128908162.12</f>
        <v>128908162.12</v>
      </c>
      <c r="F36" s="45" t="s">
        <v>71</v>
      </c>
      <c r="G36" s="45" t="s">
        <v>71</v>
      </c>
      <c r="H36" s="45" t="s">
        <v>71</v>
      </c>
      <c r="I36" s="45" t="s">
        <v>71</v>
      </c>
      <c r="J36" s="45" t="s">
        <v>71</v>
      </c>
      <c r="K36" s="55">
        <f t="shared" si="0"/>
        <v>0.41240895621182216</v>
      </c>
      <c r="L36" s="55">
        <f t="shared" si="1"/>
        <v>6.266659983011633</v>
      </c>
      <c r="M36" s="29"/>
    </row>
    <row r="37" spans="2:13" ht="13.5" customHeight="1">
      <c r="B37" s="32" t="s">
        <v>83</v>
      </c>
      <c r="C37" s="23">
        <f>1915761268.84</f>
        <v>1915761268.84</v>
      </c>
      <c r="D37" s="23">
        <f>89621352.38</f>
        <v>89621352.38</v>
      </c>
      <c r="E37" s="23">
        <f>89617823.88</f>
        <v>89617823.88</v>
      </c>
      <c r="F37" s="25" t="s">
        <v>71</v>
      </c>
      <c r="G37" s="25" t="s">
        <v>71</v>
      </c>
      <c r="H37" s="25" t="s">
        <v>71</v>
      </c>
      <c r="I37" s="25" t="s">
        <v>71</v>
      </c>
      <c r="J37" s="25" t="s">
        <v>71</v>
      </c>
      <c r="K37" s="35">
        <f t="shared" si="0"/>
        <v>0.2857451419431758</v>
      </c>
      <c r="L37" s="35">
        <f t="shared" si="1"/>
        <v>4.678106496759173</v>
      </c>
      <c r="M37" s="29"/>
    </row>
    <row r="38" spans="2:13" ht="13.5" customHeight="1">
      <c r="B38" s="53" t="s">
        <v>111</v>
      </c>
      <c r="C38" s="45">
        <f>8265373636.31</f>
        <v>8265373636.31</v>
      </c>
      <c r="D38" s="45">
        <f>536532630.73</f>
        <v>536532630.73</v>
      </c>
      <c r="E38" s="45">
        <f>531926530.52</f>
        <v>531926530.52</v>
      </c>
      <c r="F38" s="45" t="s">
        <v>71</v>
      </c>
      <c r="G38" s="45" t="s">
        <v>71</v>
      </c>
      <c r="H38" s="45" t="s">
        <v>71</v>
      </c>
      <c r="I38" s="45" t="s">
        <v>71</v>
      </c>
      <c r="J38" s="45" t="s">
        <v>71</v>
      </c>
      <c r="K38" s="73">
        <f t="shared" si="0"/>
        <v>1.710659219635951</v>
      </c>
      <c r="L38" s="73">
        <f t="shared" si="1"/>
        <v>6.491329422459479</v>
      </c>
      <c r="M38" s="29"/>
    </row>
    <row r="39" spans="2:13" ht="13.5" customHeight="1">
      <c r="B39" s="32" t="s">
        <v>112</v>
      </c>
      <c r="C39" s="23">
        <f>7705991311.17</f>
        <v>7705991311.17</v>
      </c>
      <c r="D39" s="23">
        <f>383706583.16</f>
        <v>383706583.16</v>
      </c>
      <c r="E39" s="23">
        <f>383338617.35</f>
        <v>383338617.35</v>
      </c>
      <c r="F39" s="25" t="s">
        <v>71</v>
      </c>
      <c r="G39" s="25" t="s">
        <v>71</v>
      </c>
      <c r="H39" s="25" t="s">
        <v>71</v>
      </c>
      <c r="I39" s="25" t="s">
        <v>71</v>
      </c>
      <c r="J39" s="25" t="s">
        <v>71</v>
      </c>
      <c r="K39" s="35">
        <f t="shared" si="0"/>
        <v>1.2233947508925682</v>
      </c>
      <c r="L39" s="35">
        <f t="shared" si="1"/>
        <v>4.979328001626592</v>
      </c>
      <c r="M39" s="29"/>
    </row>
    <row r="40" spans="2:13" s="5" customFormat="1" ht="25.5" customHeight="1">
      <c r="B40" s="20" t="s">
        <v>74</v>
      </c>
      <c r="C40" s="26">
        <f>C41+C42+C43+C44+C45</f>
        <v>28164433291.98</v>
      </c>
      <c r="D40" s="26">
        <f>D41+D42+D43+D44+D45</f>
        <v>9798017245</v>
      </c>
      <c r="E40" s="26">
        <f>E41+E42+E43+E44+E45</f>
        <v>8304197773.83</v>
      </c>
      <c r="F40" s="24" t="s">
        <v>71</v>
      </c>
      <c r="G40" s="24" t="s">
        <v>71</v>
      </c>
      <c r="H40" s="24" t="s">
        <v>71</v>
      </c>
      <c r="I40" s="24" t="s">
        <v>71</v>
      </c>
      <c r="J40" s="24" t="s">
        <v>71</v>
      </c>
      <c r="K40" s="34">
        <f t="shared" si="0"/>
        <v>31.23960701422088</v>
      </c>
      <c r="L40" s="34">
        <f t="shared" si="1"/>
        <v>34.78861847999636</v>
      </c>
      <c r="M40" s="30"/>
    </row>
    <row r="41" spans="2:13" ht="13.5" customHeight="1">
      <c r="B41" s="21" t="s">
        <v>58</v>
      </c>
      <c r="C41" s="23">
        <f>7307748645</f>
        <v>7307748645</v>
      </c>
      <c r="D41" s="23">
        <f>1827763176</f>
        <v>1827763176</v>
      </c>
      <c r="E41" s="23">
        <f>1827653840</f>
        <v>1827653840</v>
      </c>
      <c r="F41" s="25" t="s">
        <v>71</v>
      </c>
      <c r="G41" s="25" t="s">
        <v>71</v>
      </c>
      <c r="H41" s="25" t="s">
        <v>71</v>
      </c>
      <c r="I41" s="25" t="s">
        <v>71</v>
      </c>
      <c r="J41" s="25" t="s">
        <v>71</v>
      </c>
      <c r="K41" s="35">
        <f t="shared" si="0"/>
        <v>5.827567139917218</v>
      </c>
      <c r="L41" s="35">
        <f t="shared" si="1"/>
        <v>25.011303272596344</v>
      </c>
      <c r="M41" s="29"/>
    </row>
    <row r="42" spans="2:13" ht="13.5" customHeight="1">
      <c r="B42" s="33" t="s">
        <v>57</v>
      </c>
      <c r="C42" s="25">
        <f>20527991517.98</f>
        <v>20527991517.98</v>
      </c>
      <c r="D42" s="25">
        <f>7889099665</f>
        <v>7889099665</v>
      </c>
      <c r="E42" s="25">
        <f>6395388529.83</f>
        <v>6395388529.83</v>
      </c>
      <c r="F42" s="25" t="s">
        <v>71</v>
      </c>
      <c r="G42" s="25" t="s">
        <v>71</v>
      </c>
      <c r="H42" s="25" t="s">
        <v>71</v>
      </c>
      <c r="I42" s="25" t="s">
        <v>71</v>
      </c>
      <c r="J42" s="25" t="s">
        <v>71</v>
      </c>
      <c r="K42" s="35">
        <f t="shared" si="0"/>
        <v>25.153290412546276</v>
      </c>
      <c r="L42" s="35">
        <f t="shared" si="1"/>
        <v>38.43093786398985</v>
      </c>
      <c r="M42" s="29"/>
    </row>
    <row r="43" spans="2:13" ht="13.5" customHeight="1">
      <c r="B43" s="33" t="s">
        <v>56</v>
      </c>
      <c r="C43" s="25">
        <f>4116179</f>
        <v>4116179</v>
      </c>
      <c r="D43" s="25">
        <f>0</f>
        <v>0</v>
      </c>
      <c r="E43" s="25">
        <f>0</f>
        <v>0</v>
      </c>
      <c r="F43" s="25" t="s">
        <v>71</v>
      </c>
      <c r="G43" s="25" t="s">
        <v>71</v>
      </c>
      <c r="H43" s="25" t="s">
        <v>71</v>
      </c>
      <c r="I43" s="25" t="s">
        <v>71</v>
      </c>
      <c r="J43" s="25" t="s">
        <v>71</v>
      </c>
      <c r="K43" s="35">
        <f t="shared" si="0"/>
        <v>0</v>
      </c>
      <c r="L43" s="35">
        <f t="shared" si="1"/>
        <v>0</v>
      </c>
      <c r="M43" s="29"/>
    </row>
    <row r="44" spans="2:13" ht="13.5" customHeight="1">
      <c r="B44" s="33" t="s">
        <v>55</v>
      </c>
      <c r="C44" s="25">
        <f>324574650</f>
        <v>324574650</v>
      </c>
      <c r="D44" s="25">
        <f>81154404</f>
        <v>81154404</v>
      </c>
      <c r="E44" s="25">
        <f>81155404</f>
        <v>81155404</v>
      </c>
      <c r="F44" s="25" t="s">
        <v>71</v>
      </c>
      <c r="G44" s="25" t="s">
        <v>71</v>
      </c>
      <c r="H44" s="25" t="s">
        <v>71</v>
      </c>
      <c r="I44" s="25" t="s">
        <v>71</v>
      </c>
      <c r="J44" s="25" t="s">
        <v>71</v>
      </c>
      <c r="K44" s="35">
        <f t="shared" si="0"/>
        <v>0.25874946175738384</v>
      </c>
      <c r="L44" s="35">
        <f t="shared" si="1"/>
        <v>25.00330940817467</v>
      </c>
      <c r="M44" s="29"/>
    </row>
    <row r="45" spans="2:13" s="5" customFormat="1" ht="22.5" customHeight="1">
      <c r="B45" s="33" t="s">
        <v>53</v>
      </c>
      <c r="C45" s="25">
        <f>2300</f>
        <v>2300</v>
      </c>
      <c r="D45" s="25">
        <f>0</f>
        <v>0</v>
      </c>
      <c r="E45" s="25">
        <f>0</f>
        <v>0</v>
      </c>
      <c r="F45" s="25" t="s">
        <v>71</v>
      </c>
      <c r="G45" s="25" t="s">
        <v>71</v>
      </c>
      <c r="H45" s="25" t="s">
        <v>71</v>
      </c>
      <c r="I45" s="25" t="s">
        <v>71</v>
      </c>
      <c r="J45" s="25" t="s">
        <v>71</v>
      </c>
      <c r="K45" s="35">
        <f t="shared" si="0"/>
        <v>0</v>
      </c>
      <c r="L45" s="35">
        <f t="shared" si="1"/>
        <v>0</v>
      </c>
      <c r="M45" s="30"/>
    </row>
    <row r="46" spans="1:13" s="5" customFormat="1" ht="13.5" customHeight="1">
      <c r="A46" s="2"/>
      <c r="B46" s="22"/>
      <c r="C46" s="7"/>
      <c r="D46" s="8"/>
      <c r="E46" s="8"/>
      <c r="F46" s="16"/>
      <c r="G46" s="16"/>
      <c r="H46" s="16"/>
      <c r="I46" s="16"/>
      <c r="J46" s="16"/>
      <c r="K46" s="9"/>
      <c r="L46" s="9"/>
      <c r="M46" s="3"/>
    </row>
    <row r="47" spans="1:13" s="5" customFormat="1" ht="13.5" customHeight="1">
      <c r="A47" s="2"/>
      <c r="B47" s="53" t="s">
        <v>5</v>
      </c>
      <c r="C47" s="45">
        <f aca="true" t="shared" si="4" ref="C47:J47">+C6</f>
        <v>120069970918.89</v>
      </c>
      <c r="D47" s="45">
        <f t="shared" si="4"/>
        <v>31364086112.03</v>
      </c>
      <c r="E47" s="45">
        <f t="shared" si="4"/>
        <v>28974791187.6</v>
      </c>
      <c r="F47" s="45">
        <f t="shared" si="4"/>
        <v>721249266.76</v>
      </c>
      <c r="G47" s="45">
        <f t="shared" si="4"/>
        <v>170233416.78</v>
      </c>
      <c r="H47" s="45">
        <f t="shared" si="4"/>
        <v>23222101.03</v>
      </c>
      <c r="I47" s="45">
        <f t="shared" si="4"/>
        <v>74714904.59</v>
      </c>
      <c r="J47" s="45">
        <f t="shared" si="4"/>
        <v>115001.06</v>
      </c>
      <c r="K47" s="74">
        <f t="shared" si="0"/>
        <v>100</v>
      </c>
      <c r="L47" s="74">
        <f>IF(C47=0,"",100*D47/C47)</f>
        <v>26.12150721117202</v>
      </c>
      <c r="M47" s="74"/>
    </row>
    <row r="48" spans="1:13" s="5" customFormat="1" ht="13.5" customHeight="1">
      <c r="A48" s="2"/>
      <c r="B48" s="39" t="s">
        <v>85</v>
      </c>
      <c r="C48" s="25">
        <f>14971819811.12</f>
        <v>14971819811.12</v>
      </c>
      <c r="D48" s="25">
        <f>1029655417.64</f>
        <v>1029655417.64</v>
      </c>
      <c r="E48" s="25">
        <f>1022688556.58</f>
        <v>1022688556.58</v>
      </c>
      <c r="F48" s="25">
        <f>0</f>
        <v>0</v>
      </c>
      <c r="G48" s="25">
        <f>5752.17</f>
        <v>5752.17</v>
      </c>
      <c r="H48" s="25">
        <f>0</f>
        <v>0</v>
      </c>
      <c r="I48" s="25">
        <f>167155.5</f>
        <v>167155.5</v>
      </c>
      <c r="J48" s="25">
        <f>0</f>
        <v>0</v>
      </c>
      <c r="K48" s="40">
        <f t="shared" si="0"/>
        <v>3.2829122263028916</v>
      </c>
      <c r="L48" s="40">
        <f>IF(C48=0,"",100*D48/C48)</f>
        <v>6.877289672396707</v>
      </c>
      <c r="M48" s="40"/>
    </row>
    <row r="49" spans="1:13" s="5" customFormat="1" ht="13.5" customHeight="1">
      <c r="A49" s="2"/>
      <c r="B49" s="39" t="s">
        <v>86</v>
      </c>
      <c r="C49" s="25">
        <f>C47-C48</f>
        <v>105098151107.77</v>
      </c>
      <c r="D49" s="25">
        <f aca="true" t="shared" si="5" ref="D49:J49">D47-D48</f>
        <v>30334430694.39</v>
      </c>
      <c r="E49" s="25">
        <f t="shared" si="5"/>
        <v>27952102631.019997</v>
      </c>
      <c r="F49" s="25">
        <f t="shared" si="5"/>
        <v>721249266.76</v>
      </c>
      <c r="G49" s="25">
        <f t="shared" si="5"/>
        <v>170227664.61</v>
      </c>
      <c r="H49" s="25">
        <f t="shared" si="5"/>
        <v>23222101.03</v>
      </c>
      <c r="I49" s="25">
        <f t="shared" si="5"/>
        <v>74547749.09</v>
      </c>
      <c r="J49" s="25">
        <f t="shared" si="5"/>
        <v>115001.06</v>
      </c>
      <c r="K49" s="40">
        <f t="shared" si="0"/>
        <v>96.71708777369712</v>
      </c>
      <c r="L49" s="40">
        <f>IF(C49=0,"",100*D49/C49)</f>
        <v>28.862953700569285</v>
      </c>
      <c r="M49" s="40"/>
    </row>
    <row r="50" spans="2:13" ht="27.75" customHeight="1">
      <c r="B50" s="101" t="s">
        <v>114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 s="5" customFormat="1" ht="7.5" customHeight="1">
      <c r="B51" s="6"/>
      <c r="C51" s="7"/>
      <c r="D51" s="8"/>
      <c r="E51" s="8"/>
      <c r="F51" s="4"/>
      <c r="G51" s="4"/>
      <c r="H51" s="4"/>
      <c r="I51" s="4"/>
      <c r="J51" s="4"/>
      <c r="K51" s="9"/>
      <c r="L51" s="9"/>
      <c r="M51" s="3"/>
    </row>
    <row r="52" spans="2:27" ht="29.25" customHeight="1">
      <c r="B52" s="102" t="s">
        <v>0</v>
      </c>
      <c r="C52" s="98" t="s">
        <v>67</v>
      </c>
      <c r="D52" s="98" t="s">
        <v>68</v>
      </c>
      <c r="E52" s="98" t="s">
        <v>69</v>
      </c>
      <c r="F52" s="98" t="s">
        <v>12</v>
      </c>
      <c r="G52" s="98"/>
      <c r="H52" s="98"/>
      <c r="I52" s="98" t="s">
        <v>113</v>
      </c>
      <c r="J52" s="98"/>
      <c r="K52" s="98" t="s">
        <v>2</v>
      </c>
      <c r="L52" s="105" t="s">
        <v>44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ht="18" customHeight="1">
      <c r="B53" s="102"/>
      <c r="C53" s="98"/>
      <c r="D53" s="103"/>
      <c r="E53" s="98"/>
      <c r="F53" s="90" t="s">
        <v>70</v>
      </c>
      <c r="G53" s="104" t="s">
        <v>42</v>
      </c>
      <c r="H53" s="103"/>
      <c r="I53" s="98"/>
      <c r="J53" s="98"/>
      <c r="K53" s="98"/>
      <c r="L53" s="105"/>
      <c r="M53" s="11"/>
      <c r="N53" s="12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ht="36" customHeight="1">
      <c r="B54" s="102"/>
      <c r="C54" s="98"/>
      <c r="D54" s="103"/>
      <c r="E54" s="98"/>
      <c r="F54" s="103"/>
      <c r="G54" s="18" t="s">
        <v>65</v>
      </c>
      <c r="H54" s="18" t="s">
        <v>66</v>
      </c>
      <c r="I54" s="98"/>
      <c r="J54" s="98"/>
      <c r="K54" s="98"/>
      <c r="L54" s="105"/>
      <c r="M54" s="1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13.5" customHeight="1">
      <c r="B55" s="102"/>
      <c r="C55" s="97" t="s">
        <v>92</v>
      </c>
      <c r="D55" s="97"/>
      <c r="E55" s="97"/>
      <c r="F55" s="97"/>
      <c r="G55" s="97"/>
      <c r="H55" s="97"/>
      <c r="I55" s="97"/>
      <c r="J55" s="97"/>
      <c r="K55" s="97" t="s">
        <v>4</v>
      </c>
      <c r="L55" s="97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11.25" customHeight="1">
      <c r="B56" s="17">
        <v>1</v>
      </c>
      <c r="C56" s="19">
        <v>2</v>
      </c>
      <c r="D56" s="19">
        <v>3</v>
      </c>
      <c r="E56" s="19">
        <v>4</v>
      </c>
      <c r="F56" s="17">
        <v>5</v>
      </c>
      <c r="G56" s="17">
        <v>6</v>
      </c>
      <c r="H56" s="19">
        <v>7</v>
      </c>
      <c r="I56" s="103">
        <v>8</v>
      </c>
      <c r="J56" s="103"/>
      <c r="K56" s="17">
        <v>9</v>
      </c>
      <c r="L56" s="19">
        <v>10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12" ht="25.5" customHeight="1">
      <c r="B57" s="53" t="s">
        <v>75</v>
      </c>
      <c r="C57" s="75">
        <f>132052309341.65</f>
        <v>132052309341.65</v>
      </c>
      <c r="D57" s="75">
        <f>73784402579.6</f>
        <v>73784402579.6</v>
      </c>
      <c r="E57" s="75">
        <f>26102326778.88</f>
        <v>26102326778.88</v>
      </c>
      <c r="F57" s="75">
        <f>2450830201.8</f>
        <v>2450830201.8</v>
      </c>
      <c r="G57" s="75">
        <f>19138222.01</f>
        <v>19138222.01</v>
      </c>
      <c r="H57" s="75">
        <f>13091867.28</f>
        <v>13091867.28</v>
      </c>
      <c r="I57" s="107">
        <f>0</f>
        <v>0</v>
      </c>
      <c r="J57" s="107"/>
      <c r="K57" s="66">
        <f aca="true" t="shared" si="6" ref="K57:K68">IF($E$57=0,"",100*$E57/$E$57)</f>
        <v>100</v>
      </c>
      <c r="L57" s="66">
        <f aca="true" t="shared" si="7" ref="L57:L68">IF(C57=0,"",100*E57/C57)</f>
        <v>19.76665679609375</v>
      </c>
    </row>
    <row r="58" spans="2:12" ht="24" customHeight="1">
      <c r="B58" s="20" t="s">
        <v>14</v>
      </c>
      <c r="C58" s="27">
        <f>33266811648.21</f>
        <v>33266811648.21</v>
      </c>
      <c r="D58" s="27">
        <f>11005429538.92</f>
        <v>11005429538.92</v>
      </c>
      <c r="E58" s="27">
        <f>1659203654.19</f>
        <v>1659203654.19</v>
      </c>
      <c r="F58" s="27">
        <f>482918251.03</f>
        <v>482918251.03</v>
      </c>
      <c r="G58" s="27">
        <f>557525.15</f>
        <v>557525.15</v>
      </c>
      <c r="H58" s="27">
        <f>539135.63</f>
        <v>539135.63</v>
      </c>
      <c r="I58" s="100">
        <f>0</f>
        <v>0</v>
      </c>
      <c r="J58" s="108"/>
      <c r="K58" s="36">
        <f t="shared" si="6"/>
        <v>6.356535446995094</v>
      </c>
      <c r="L58" s="36">
        <f t="shared" si="7"/>
        <v>4.987564398222928</v>
      </c>
    </row>
    <row r="59" spans="2:12" ht="22.5" customHeight="1">
      <c r="B59" s="21" t="s">
        <v>13</v>
      </c>
      <c r="C59" s="23">
        <f>32877550660.94</f>
        <v>32877550660.94</v>
      </c>
      <c r="D59" s="23">
        <f>10900899494.46</f>
        <v>10900899494.46</v>
      </c>
      <c r="E59" s="23">
        <f>1589844110.27</f>
        <v>1589844110.27</v>
      </c>
      <c r="F59" s="23">
        <f>482138251.03</f>
        <v>482138251.03</v>
      </c>
      <c r="G59" s="23">
        <f>557525.15</f>
        <v>557525.15</v>
      </c>
      <c r="H59" s="23">
        <f>539135.63</f>
        <v>539135.63</v>
      </c>
      <c r="I59" s="109">
        <f>0</f>
        <v>0</v>
      </c>
      <c r="J59" s="110"/>
      <c r="K59" s="37">
        <f t="shared" si="6"/>
        <v>6.090813756712217</v>
      </c>
      <c r="L59" s="37">
        <f t="shared" si="7"/>
        <v>4.835652529793851</v>
      </c>
    </row>
    <row r="60" spans="2:12" ht="25.5" customHeight="1">
      <c r="B60" s="20" t="s">
        <v>76</v>
      </c>
      <c r="C60" s="27">
        <f aca="true" t="shared" si="8" ref="C60:I60">C57-C58</f>
        <v>98785497693.44</v>
      </c>
      <c r="D60" s="27">
        <f t="shared" si="8"/>
        <v>62778973040.68001</v>
      </c>
      <c r="E60" s="27">
        <f t="shared" si="8"/>
        <v>24443123124.690002</v>
      </c>
      <c r="F60" s="27">
        <f t="shared" si="8"/>
        <v>1967911950.7700002</v>
      </c>
      <c r="G60" s="27">
        <f t="shared" si="8"/>
        <v>18580696.860000003</v>
      </c>
      <c r="H60" s="27">
        <f t="shared" si="8"/>
        <v>12552731.649999999</v>
      </c>
      <c r="I60" s="100">
        <f t="shared" si="8"/>
        <v>0</v>
      </c>
      <c r="J60" s="100"/>
      <c r="K60" s="36">
        <f t="shared" si="6"/>
        <v>93.6434645530049</v>
      </c>
      <c r="L60" s="36">
        <f t="shared" si="7"/>
        <v>24.74363514424363</v>
      </c>
    </row>
    <row r="61" spans="2:12" ht="13.5" customHeight="1">
      <c r="B61" s="21" t="s">
        <v>64</v>
      </c>
      <c r="C61" s="23">
        <f>31924879356.38</f>
        <v>31924879356.38</v>
      </c>
      <c r="D61" s="23">
        <f>26121280403.56</f>
        <v>26121280403.56</v>
      </c>
      <c r="E61" s="23">
        <f>8871471996.7</f>
        <v>8871471996.7</v>
      </c>
      <c r="F61" s="23">
        <f>559151320.69</f>
        <v>559151320.69</v>
      </c>
      <c r="G61" s="23">
        <f>1098910.8</f>
        <v>1098910.8</v>
      </c>
      <c r="H61" s="23">
        <f>2144585.1</f>
        <v>2144585.1</v>
      </c>
      <c r="I61" s="109">
        <f>0</f>
        <v>0</v>
      </c>
      <c r="J61" s="110"/>
      <c r="K61" s="37">
        <f t="shared" si="6"/>
        <v>33.98728424424644</v>
      </c>
      <c r="L61" s="37">
        <f t="shared" si="7"/>
        <v>27.78858425012995</v>
      </c>
    </row>
    <row r="62" spans="2:12" ht="22.5" customHeight="1">
      <c r="B62" s="72" t="s">
        <v>59</v>
      </c>
      <c r="C62" s="77">
        <f>28821762313.58</f>
        <v>28821762313.58</v>
      </c>
      <c r="D62" s="77">
        <f>23599417054.33</f>
        <v>23599417054.33</v>
      </c>
      <c r="E62" s="77">
        <f>6768546667.55</f>
        <v>6768546667.55</v>
      </c>
      <c r="F62" s="77">
        <f>412428376.36</f>
        <v>412428376.36</v>
      </c>
      <c r="G62" s="77">
        <f>1069361.48</f>
        <v>1069361.48</v>
      </c>
      <c r="H62" s="77">
        <f>1785025.08</f>
        <v>1785025.08</v>
      </c>
      <c r="I62" s="99">
        <f>0</f>
        <v>0</v>
      </c>
      <c r="J62" s="99"/>
      <c r="K62" s="78">
        <f t="shared" si="6"/>
        <v>25.930817297968197</v>
      </c>
      <c r="L62" s="78">
        <f t="shared" si="7"/>
        <v>23.48415268264443</v>
      </c>
    </row>
    <row r="63" spans="2:12" ht="13.5" customHeight="1">
      <c r="B63" s="33" t="s">
        <v>63</v>
      </c>
      <c r="C63" s="25">
        <f>6459963608.33</f>
        <v>6459963608.33</v>
      </c>
      <c r="D63" s="25">
        <f>5275476250.67</f>
        <v>5275476250.67</v>
      </c>
      <c r="E63" s="25">
        <f>1599224352.56</f>
        <v>1599224352.56</v>
      </c>
      <c r="F63" s="25">
        <f>331732672.19</f>
        <v>331732672.19</v>
      </c>
      <c r="G63" s="25">
        <f>455291.99</f>
        <v>455291.99</v>
      </c>
      <c r="H63" s="25">
        <f>697406.3</f>
        <v>697406.3</v>
      </c>
      <c r="I63" s="106">
        <f>0</f>
        <v>0</v>
      </c>
      <c r="J63" s="106"/>
      <c r="K63" s="78">
        <f t="shared" si="6"/>
        <v>6.126750178662117</v>
      </c>
      <c r="L63" s="78">
        <f t="shared" si="7"/>
        <v>24.75593439098992</v>
      </c>
    </row>
    <row r="64" spans="2:12" ht="13.5" customHeight="1">
      <c r="B64" s="33" t="s">
        <v>62</v>
      </c>
      <c r="C64" s="77">
        <f>6948486113.01</f>
        <v>6948486113.01</v>
      </c>
      <c r="D64" s="77">
        <f>3889438510.9</f>
        <v>3889438510.9</v>
      </c>
      <c r="E64" s="77">
        <f>1835454034.11</f>
        <v>1835454034.11</v>
      </c>
      <c r="F64" s="77">
        <f>11864873.2</f>
        <v>11864873.2</v>
      </c>
      <c r="G64" s="77">
        <f>62291.17</f>
        <v>62291.17</v>
      </c>
      <c r="H64" s="77">
        <f>104638</f>
        <v>104638</v>
      </c>
      <c r="I64" s="99">
        <f>0</f>
        <v>0</v>
      </c>
      <c r="J64" s="99"/>
      <c r="K64" s="78">
        <f t="shared" si="6"/>
        <v>7.031764063252432</v>
      </c>
      <c r="L64" s="78">
        <f t="shared" si="7"/>
        <v>26.415164458246338</v>
      </c>
    </row>
    <row r="65" spans="2:12" ht="13.5" customHeight="1">
      <c r="B65" s="33" t="s">
        <v>61</v>
      </c>
      <c r="C65" s="25">
        <f>902808393.49</f>
        <v>902808393.49</v>
      </c>
      <c r="D65" s="25">
        <f>276954349.65</f>
        <v>276954349.65</v>
      </c>
      <c r="E65" s="25">
        <f>132760907.05</f>
        <v>132760907.05</v>
      </c>
      <c r="F65" s="25">
        <f>26442617.4</f>
        <v>26442617.4</v>
      </c>
      <c r="G65" s="25">
        <f>7458835.15</f>
        <v>7458835.15</v>
      </c>
      <c r="H65" s="25">
        <f>907949.15</f>
        <v>907949.15</v>
      </c>
      <c r="I65" s="106">
        <f>0</f>
        <v>0</v>
      </c>
      <c r="J65" s="106"/>
      <c r="K65" s="78">
        <f t="shared" si="6"/>
        <v>0.5086171366049249</v>
      </c>
      <c r="L65" s="78">
        <f t="shared" si="7"/>
        <v>14.705324851576108</v>
      </c>
    </row>
    <row r="66" spans="2:12" ht="22.5" customHeight="1">
      <c r="B66" s="33" t="s">
        <v>79</v>
      </c>
      <c r="C66" s="77">
        <f>125506395.17</f>
        <v>125506395.17</v>
      </c>
      <c r="D66" s="77">
        <f>6291655.77</f>
        <v>6291655.77</v>
      </c>
      <c r="E66" s="77">
        <f>739304.99</f>
        <v>739304.99</v>
      </c>
      <c r="F66" s="77">
        <f>333337.42</f>
        <v>333337.42</v>
      </c>
      <c r="G66" s="77">
        <f>0</f>
        <v>0</v>
      </c>
      <c r="H66" s="77">
        <f>0</f>
        <v>0</v>
      </c>
      <c r="I66" s="99">
        <f>0</f>
        <v>0</v>
      </c>
      <c r="J66" s="99"/>
      <c r="K66" s="78">
        <f t="shared" si="6"/>
        <v>0.0028323336699553883</v>
      </c>
      <c r="L66" s="78">
        <f t="shared" si="7"/>
        <v>0.5890576245127606</v>
      </c>
    </row>
    <row r="67" spans="2:12" ht="22.5" customHeight="1">
      <c r="B67" s="33" t="s">
        <v>81</v>
      </c>
      <c r="C67" s="77">
        <f>28499441851.39</f>
        <v>28499441851.39</v>
      </c>
      <c r="D67" s="77">
        <f>16786399777.65</f>
        <v>16786399777.65</v>
      </c>
      <c r="E67" s="77">
        <f>7129961285.95</f>
        <v>7129961285.95</v>
      </c>
      <c r="F67" s="77">
        <f>423852714.86</f>
        <v>423852714.86</v>
      </c>
      <c r="G67" s="77">
        <f>376256.02</f>
        <v>376256.02</v>
      </c>
      <c r="H67" s="77">
        <f>191875.17</f>
        <v>191875.17</v>
      </c>
      <c r="I67" s="111">
        <f>0</f>
        <v>0</v>
      </c>
      <c r="J67" s="112"/>
      <c r="K67" s="78">
        <f t="shared" si="6"/>
        <v>27.31542420087629</v>
      </c>
      <c r="L67" s="78">
        <f t="shared" si="7"/>
        <v>25.0178979754379</v>
      </c>
    </row>
    <row r="68" spans="2:12" ht="13.5" customHeight="1">
      <c r="B68" s="33" t="s">
        <v>60</v>
      </c>
      <c r="C68" s="25">
        <f aca="true" t="shared" si="9" ref="C68:J68">C60-C61-C63-C64-C65-C66-C67</f>
        <v>23924411975.67</v>
      </c>
      <c r="D68" s="25">
        <f t="shared" si="9"/>
        <v>10423132092.48001</v>
      </c>
      <c r="E68" s="25">
        <f t="shared" si="9"/>
        <v>4873511243.330003</v>
      </c>
      <c r="F68" s="25">
        <f t="shared" si="9"/>
        <v>614534415.0100001</v>
      </c>
      <c r="G68" s="25">
        <f t="shared" si="9"/>
        <v>9129111.730000002</v>
      </c>
      <c r="H68" s="25">
        <f t="shared" si="9"/>
        <v>8506277.929999998</v>
      </c>
      <c r="I68" s="99">
        <f t="shared" si="9"/>
        <v>0</v>
      </c>
      <c r="J68" s="99">
        <f t="shared" si="9"/>
        <v>0</v>
      </c>
      <c r="K68" s="78">
        <f t="shared" si="6"/>
        <v>18.670792395692764</v>
      </c>
      <c r="L68" s="78">
        <f t="shared" si="7"/>
        <v>20.370453611508342</v>
      </c>
    </row>
    <row r="69" spans="2:13" ht="24" customHeight="1">
      <c r="B69" s="20" t="s">
        <v>15</v>
      </c>
      <c r="C69" s="27">
        <f>C6-C57</f>
        <v>-11982338422.759995</v>
      </c>
      <c r="D69" s="27"/>
      <c r="E69" s="27">
        <f>D6-E57</f>
        <v>5261759333.149998</v>
      </c>
      <c r="F69" s="27"/>
      <c r="G69" s="27"/>
      <c r="H69" s="27"/>
      <c r="I69" s="100"/>
      <c r="J69" s="100"/>
      <c r="K69" s="28"/>
      <c r="L69" s="28"/>
      <c r="M69" s="13"/>
    </row>
    <row r="70" spans="2:13" ht="42.75" customHeight="1">
      <c r="B70" s="41" t="s">
        <v>87</v>
      </c>
      <c r="C70" s="27">
        <f>+C49-C60</f>
        <v>6312653414.330002</v>
      </c>
      <c r="D70" s="27"/>
      <c r="E70" s="27">
        <f>+D49-E60</f>
        <v>5891307569.699997</v>
      </c>
      <c r="F70" s="27"/>
      <c r="G70" s="27"/>
      <c r="H70" s="27"/>
      <c r="I70" s="27"/>
      <c r="J70" s="27"/>
      <c r="K70" s="28"/>
      <c r="L70" s="28"/>
      <c r="M70" s="13"/>
    </row>
    <row r="71" spans="2:13" ht="17.25" customHeight="1" thickBot="1">
      <c r="B71" s="79"/>
      <c r="C71" s="80"/>
      <c r="D71" s="80"/>
      <c r="E71" s="80"/>
      <c r="F71" s="80"/>
      <c r="G71" s="80"/>
      <c r="H71" s="80"/>
      <c r="I71" s="80"/>
      <c r="J71" s="80"/>
      <c r="K71" s="28"/>
      <c r="L71" s="28"/>
      <c r="M71" s="13"/>
    </row>
    <row r="72" spans="2:13" ht="14.25" customHeight="1">
      <c r="B72" s="81" t="s">
        <v>88</v>
      </c>
      <c r="C72" s="80"/>
      <c r="D72" s="80"/>
      <c r="E72" s="80"/>
      <c r="F72" s="80"/>
      <c r="G72" s="80"/>
      <c r="H72" s="80"/>
      <c r="I72" s="80"/>
      <c r="J72" s="80"/>
      <c r="K72" s="28"/>
      <c r="L72" s="28"/>
      <c r="M72" s="13"/>
    </row>
    <row r="73" spans="2:13" ht="24" customHeight="1">
      <c r="B73" s="53" t="s">
        <v>89</v>
      </c>
      <c r="C73" s="45">
        <f>16310647169.39</f>
        <v>16310647169.39</v>
      </c>
      <c r="D73" s="45">
        <f>5737677642.93</f>
        <v>5737677642.93</v>
      </c>
      <c r="E73" s="45">
        <f>922383213.93</f>
        <v>922383213.93</v>
      </c>
      <c r="F73" s="45">
        <f>176086347.86</f>
        <v>176086347.86</v>
      </c>
      <c r="G73" s="45">
        <f>135344.34</f>
        <v>135344.34</v>
      </c>
      <c r="H73" s="45">
        <f>144970.99</f>
        <v>144970.99</v>
      </c>
      <c r="I73" s="45">
        <f>0</f>
        <v>0</v>
      </c>
      <c r="J73" s="45">
        <f>0</f>
        <v>0</v>
      </c>
      <c r="K73" s="83">
        <f>IF($E$57=0,"",100*$E73/$E$73)</f>
        <v>100</v>
      </c>
      <c r="L73" s="83">
        <f>IF(C73=0,"",100*E73/C73)</f>
        <v>5.655098809696685</v>
      </c>
      <c r="M73" s="13"/>
    </row>
    <row r="74" spans="2:13" ht="15" customHeight="1">
      <c r="B74" s="82" t="s">
        <v>90</v>
      </c>
      <c r="C74" s="23">
        <f>15448485456.78</f>
        <v>15448485456.78</v>
      </c>
      <c r="D74" s="23">
        <f>5416505377.81</f>
        <v>5416505377.81</v>
      </c>
      <c r="E74" s="23">
        <f>774578410.35</f>
        <v>774578410.35</v>
      </c>
      <c r="F74" s="23">
        <f>169456966.25</f>
        <v>169456966.25</v>
      </c>
      <c r="G74" s="23">
        <f>0</f>
        <v>0</v>
      </c>
      <c r="H74" s="23">
        <f>62266</f>
        <v>62266</v>
      </c>
      <c r="I74" s="23">
        <f>0</f>
        <v>0</v>
      </c>
      <c r="J74" s="23">
        <f>0</f>
        <v>0</v>
      </c>
      <c r="K74" s="37">
        <f>IF($E$57=0,"",100*$E74/$E$73)</f>
        <v>83.97577044466716</v>
      </c>
      <c r="L74" s="37">
        <f>IF(C74=0,"",100*E74/C74)</f>
        <v>5.01394400452411</v>
      </c>
      <c r="M74" s="13"/>
    </row>
    <row r="75" spans="2:13" ht="14.25" customHeight="1">
      <c r="B75" s="42" t="s">
        <v>91</v>
      </c>
      <c r="C75" s="23">
        <f>+C73-C74</f>
        <v>862161712.6099987</v>
      </c>
      <c r="D75" s="23">
        <f aca="true" t="shared" si="10" ref="D75:J75">+D73-D74</f>
        <v>321172265.1199999</v>
      </c>
      <c r="E75" s="23">
        <f t="shared" si="10"/>
        <v>147804803.57999992</v>
      </c>
      <c r="F75" s="23">
        <f t="shared" si="10"/>
        <v>6629381.610000014</v>
      </c>
      <c r="G75" s="23">
        <f t="shared" si="10"/>
        <v>135344.34</v>
      </c>
      <c r="H75" s="23">
        <f t="shared" si="10"/>
        <v>82704.98999999999</v>
      </c>
      <c r="I75" s="23">
        <f t="shared" si="10"/>
        <v>0</v>
      </c>
      <c r="J75" s="23">
        <f t="shared" si="10"/>
        <v>0</v>
      </c>
      <c r="K75" s="37">
        <f>IF($E$57=0,"",100*$E75/$E$73)</f>
        <v>16.024229555332834</v>
      </c>
      <c r="L75" s="37">
        <f>IF(C75=0,"",100*E75/C75)</f>
        <v>17.143512802552372</v>
      </c>
      <c r="M75" s="10"/>
    </row>
    <row r="76" spans="2:13" ht="16.5" customHeight="1">
      <c r="B76" s="101" t="s">
        <v>114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ht="6.75" customHeight="1"/>
    <row r="78" spans="2:8" ht="18" customHeight="1">
      <c r="B78" s="44" t="s">
        <v>16</v>
      </c>
      <c r="C78" s="95" t="s">
        <v>17</v>
      </c>
      <c r="D78" s="96"/>
      <c r="E78" s="95" t="s">
        <v>1</v>
      </c>
      <c r="F78" s="96"/>
      <c r="G78" s="19" t="s">
        <v>26</v>
      </c>
      <c r="H78" s="19" t="s">
        <v>27</v>
      </c>
    </row>
    <row r="79" spans="2:10" ht="13.5" customHeight="1">
      <c r="B79" s="44"/>
      <c r="C79" s="90" t="s">
        <v>92</v>
      </c>
      <c r="D79" s="91"/>
      <c r="E79" s="91"/>
      <c r="F79" s="92"/>
      <c r="G79" s="93" t="s">
        <v>4</v>
      </c>
      <c r="H79" s="94"/>
      <c r="J79" s="14"/>
    </row>
    <row r="80" spans="2:10" ht="11.25" customHeight="1">
      <c r="B80" s="43">
        <v>1</v>
      </c>
      <c r="C80" s="46">
        <v>2</v>
      </c>
      <c r="D80" s="47"/>
      <c r="E80" s="46">
        <v>3</v>
      </c>
      <c r="F80" s="47"/>
      <c r="G80" s="31">
        <v>4</v>
      </c>
      <c r="H80" s="31">
        <v>5</v>
      </c>
      <c r="J80" s="10"/>
    </row>
    <row r="81" spans="2:8" ht="25.5" customHeight="1">
      <c r="B81" s="68" t="s">
        <v>77</v>
      </c>
      <c r="C81" s="48">
        <f>16579428545.92</f>
        <v>16579428545.92</v>
      </c>
      <c r="D81" s="49"/>
      <c r="E81" s="48">
        <f>8312919676.8</f>
        <v>8312919676.8</v>
      </c>
      <c r="F81" s="49"/>
      <c r="G81" s="38">
        <f aca="true" t="shared" si="11" ref="G81:G92">IF($E$81=0,"",100*$E81/$E$81)</f>
        <v>100</v>
      </c>
      <c r="H81" s="36">
        <f>IF(C81=0,"",100*E81/C81)</f>
        <v>50.139965040264975</v>
      </c>
    </row>
    <row r="82" spans="2:8" ht="13.5" customHeight="1">
      <c r="B82" s="69" t="s">
        <v>34</v>
      </c>
      <c r="C82" s="50">
        <f>11557865126.18</f>
        <v>11557865126.18</v>
      </c>
      <c r="D82" s="51"/>
      <c r="E82" s="50">
        <f>257492723.73</f>
        <v>257492723.73</v>
      </c>
      <c r="F82" s="51"/>
      <c r="G82" s="63">
        <f t="shared" si="11"/>
        <v>3.0975004419761216</v>
      </c>
      <c r="H82" s="64">
        <f aca="true" t="shared" si="12" ref="H82:H99">IF(C82=0,"",100*E82/C82)</f>
        <v>2.2278571424643725</v>
      </c>
    </row>
    <row r="83" spans="2:8" ht="60" customHeight="1">
      <c r="B83" s="84" t="s">
        <v>84</v>
      </c>
      <c r="C83" s="85">
        <f>486506058.48</f>
        <v>486506058.48</v>
      </c>
      <c r="D83" s="86"/>
      <c r="E83" s="85">
        <f>400000</f>
        <v>400000</v>
      </c>
      <c r="F83" s="86"/>
      <c r="G83" s="87">
        <f t="shared" si="11"/>
        <v>0.004811787140399475</v>
      </c>
      <c r="H83" s="76">
        <f t="shared" si="12"/>
        <v>0.08221891444676506</v>
      </c>
    </row>
    <row r="84" spans="2:8" ht="12.75">
      <c r="B84" s="88" t="s">
        <v>37</v>
      </c>
      <c r="C84" s="85">
        <f>58802136.92</f>
        <v>58802136.92</v>
      </c>
      <c r="D84" s="86"/>
      <c r="E84" s="85">
        <f>9543586.56</f>
        <v>9543586.56</v>
      </c>
      <c r="F84" s="86"/>
      <c r="G84" s="87">
        <f t="shared" si="11"/>
        <v>0.11480426770674315</v>
      </c>
      <c r="H84" s="76">
        <f t="shared" si="12"/>
        <v>16.22999955424069</v>
      </c>
    </row>
    <row r="85" spans="2:8" ht="13.5" customHeight="1">
      <c r="B85" s="88" t="s">
        <v>35</v>
      </c>
      <c r="C85" s="113">
        <f>1595104737.45</f>
        <v>1595104737.45</v>
      </c>
      <c r="D85" s="114"/>
      <c r="E85" s="113">
        <f>2398872432.77</f>
        <v>2398872432.77</v>
      </c>
      <c r="F85" s="114"/>
      <c r="G85" s="115">
        <f t="shared" si="11"/>
        <v>28.857158808653725</v>
      </c>
      <c r="H85" s="116">
        <f t="shared" si="12"/>
        <v>150.3896500617844</v>
      </c>
    </row>
    <row r="86" spans="2:8" ht="13.5" customHeight="1">
      <c r="B86" s="84" t="s">
        <v>94</v>
      </c>
      <c r="C86" s="85">
        <f>0</f>
        <v>0</v>
      </c>
      <c r="D86" s="86"/>
      <c r="E86" s="85">
        <f>0</f>
        <v>0</v>
      </c>
      <c r="F86" s="86"/>
      <c r="G86" s="87">
        <f t="shared" si="11"/>
        <v>0</v>
      </c>
      <c r="H86" s="76">
        <f t="shared" si="12"/>
      </c>
    </row>
    <row r="87" spans="2:8" ht="13.5" customHeight="1">
      <c r="B87" s="88" t="s">
        <v>36</v>
      </c>
      <c r="C87" s="85">
        <f>0</f>
        <v>0</v>
      </c>
      <c r="D87" s="86"/>
      <c r="E87" s="85">
        <f>0.53</f>
        <v>0.53</v>
      </c>
      <c r="F87" s="86"/>
      <c r="G87" s="87">
        <f t="shared" si="11"/>
        <v>6.375617961029305E-09</v>
      </c>
      <c r="H87" s="76">
        <f t="shared" si="12"/>
      </c>
    </row>
    <row r="88" spans="2:8" ht="60" customHeight="1">
      <c r="B88" s="84" t="s">
        <v>84</v>
      </c>
      <c r="C88" s="85">
        <f>0</f>
        <v>0</v>
      </c>
      <c r="D88" s="86"/>
      <c r="E88" s="85">
        <f>0</f>
        <v>0</v>
      </c>
      <c r="F88" s="86"/>
      <c r="G88" s="87">
        <f t="shared" si="11"/>
        <v>0</v>
      </c>
      <c r="H88" s="76">
        <f t="shared" si="12"/>
      </c>
    </row>
    <row r="89" spans="2:8" ht="13.5" customHeight="1">
      <c r="B89" s="88" t="s">
        <v>38</v>
      </c>
      <c r="C89" s="85">
        <f>3323140672.61</f>
        <v>3323140672.61</v>
      </c>
      <c r="D89" s="86"/>
      <c r="E89" s="85">
        <f>5570060071.64</f>
        <v>5570060071.64</v>
      </c>
      <c r="F89" s="86"/>
      <c r="G89" s="87">
        <f t="shared" si="11"/>
        <v>67.00485855992483</v>
      </c>
      <c r="H89" s="76">
        <f t="shared" si="12"/>
        <v>167.6143329576616</v>
      </c>
    </row>
    <row r="90" spans="2:8" ht="36.75" customHeight="1">
      <c r="B90" s="88" t="s">
        <v>95</v>
      </c>
      <c r="C90" s="85">
        <f>44515872.76</f>
        <v>44515872.76</v>
      </c>
      <c r="D90" s="86"/>
      <c r="E90" s="85">
        <f>76950861.57</f>
        <v>76950861.57</v>
      </c>
      <c r="F90" s="86"/>
      <c r="G90" s="87">
        <f t="shared" si="11"/>
        <v>0.9256779153629653</v>
      </c>
      <c r="H90" s="76">
        <f t="shared" si="12"/>
        <v>172.86162619986786</v>
      </c>
    </row>
    <row r="91" spans="2:8" ht="13.5" customHeight="1">
      <c r="B91" s="84" t="s">
        <v>94</v>
      </c>
      <c r="C91" s="85">
        <f>0</f>
        <v>0</v>
      </c>
      <c r="D91" s="86"/>
      <c r="E91" s="85">
        <f>0</f>
        <v>0</v>
      </c>
      <c r="F91" s="86"/>
      <c r="G91" s="87">
        <f t="shared" si="11"/>
        <v>0</v>
      </c>
      <c r="H91" s="76">
        <f t="shared" si="12"/>
      </c>
    </row>
    <row r="92" spans="2:8" ht="13.5" customHeight="1">
      <c r="B92" s="84" t="s">
        <v>96</v>
      </c>
      <c r="C92" s="85">
        <f>0</f>
        <v>0</v>
      </c>
      <c r="D92" s="86"/>
      <c r="E92" s="85">
        <f>0</f>
        <v>0</v>
      </c>
      <c r="F92" s="86"/>
      <c r="G92" s="87">
        <f t="shared" si="11"/>
        <v>0</v>
      </c>
      <c r="H92" s="76">
        <f t="shared" si="12"/>
      </c>
    </row>
    <row r="93" spans="2:8" ht="25.5" customHeight="1">
      <c r="B93" s="68" t="s">
        <v>78</v>
      </c>
      <c r="C93" s="59">
        <f>4571098083.92</f>
        <v>4571098083.92</v>
      </c>
      <c r="D93" s="60"/>
      <c r="E93" s="59">
        <f>1810359193.7</f>
        <v>1810359193.7</v>
      </c>
      <c r="F93" s="60"/>
      <c r="G93" s="38">
        <f>IF($E$93=0,"",100*$E93/$E$93)</f>
        <v>100</v>
      </c>
      <c r="H93" s="36">
        <f t="shared" si="12"/>
        <v>39.60447053342388</v>
      </c>
    </row>
    <row r="94" spans="2:8" ht="22.5">
      <c r="B94" s="69" t="s">
        <v>39</v>
      </c>
      <c r="C94" s="50">
        <f>3981991948.38</f>
        <v>3981991948.38</v>
      </c>
      <c r="D94" s="57"/>
      <c r="E94" s="58">
        <f>925294087.04</f>
        <v>925294087.04</v>
      </c>
      <c r="F94" s="57"/>
      <c r="G94" s="63">
        <f aca="true" t="shared" si="13" ref="G94:G99">IF($E$93=0,"",100*$E94/$E$93)</f>
        <v>51.11107730775185</v>
      </c>
      <c r="H94" s="64">
        <f t="shared" si="12"/>
        <v>23.236965293624937</v>
      </c>
    </row>
    <row r="95" spans="2:8" ht="60" customHeight="1">
      <c r="B95" s="84" t="s">
        <v>84</v>
      </c>
      <c r="C95" s="85">
        <f>71898680</f>
        <v>71898680</v>
      </c>
      <c r="D95" s="86"/>
      <c r="E95" s="85">
        <f>1558170</f>
        <v>1558170</v>
      </c>
      <c r="F95" s="86"/>
      <c r="G95" s="87">
        <f t="shared" si="13"/>
        <v>0.0860696598455372</v>
      </c>
      <c r="H95" s="76">
        <f t="shared" si="12"/>
        <v>2.167174696392201</v>
      </c>
    </row>
    <row r="96" spans="2:8" ht="13.5" customHeight="1">
      <c r="B96" s="88" t="s">
        <v>40</v>
      </c>
      <c r="C96" s="85">
        <f>53156213.7</f>
        <v>53156213.7</v>
      </c>
      <c r="D96" s="86"/>
      <c r="E96" s="85">
        <f>7892899.02</f>
        <v>7892899.02</v>
      </c>
      <c r="F96" s="86"/>
      <c r="G96" s="87">
        <f t="shared" si="13"/>
        <v>0.4359852479810123</v>
      </c>
      <c r="H96" s="76">
        <f t="shared" si="12"/>
        <v>14.84849742034956</v>
      </c>
    </row>
    <row r="97" spans="2:8" ht="24.75" customHeight="1">
      <c r="B97" s="88" t="s">
        <v>41</v>
      </c>
      <c r="C97" s="85">
        <f>535949921.84</f>
        <v>535949921.84</v>
      </c>
      <c r="D97" s="86"/>
      <c r="E97" s="85">
        <f>877306300.14</f>
        <v>877306300.14</v>
      </c>
      <c r="F97" s="86"/>
      <c r="G97" s="87">
        <f t="shared" si="13"/>
        <v>48.460344399774456</v>
      </c>
      <c r="H97" s="76">
        <f t="shared" si="12"/>
        <v>163.69184216466908</v>
      </c>
    </row>
    <row r="98" spans="2:8" ht="60" customHeight="1">
      <c r="B98" s="84" t="s">
        <v>84</v>
      </c>
      <c r="C98" s="85">
        <f>0</f>
        <v>0</v>
      </c>
      <c r="D98" s="86"/>
      <c r="E98" s="85">
        <f>0</f>
        <v>0</v>
      </c>
      <c r="F98" s="86"/>
      <c r="G98" s="87">
        <f t="shared" si="13"/>
        <v>0</v>
      </c>
      <c r="H98" s="76">
        <f t="shared" si="12"/>
      </c>
    </row>
    <row r="99" spans="2:8" ht="12.75">
      <c r="B99" s="88" t="s">
        <v>33</v>
      </c>
      <c r="C99" s="85">
        <f>0</f>
        <v>0</v>
      </c>
      <c r="D99" s="86"/>
      <c r="E99" s="85">
        <f>0</f>
        <v>0</v>
      </c>
      <c r="F99" s="86"/>
      <c r="G99" s="87">
        <f t="shared" si="13"/>
        <v>0</v>
      </c>
      <c r="H99" s="76">
        <f t="shared" si="12"/>
      </c>
    </row>
    <row r="100" ht="5.25" customHeight="1"/>
    <row r="101" spans="2:8" ht="12.75">
      <c r="B101" s="44" t="s">
        <v>16</v>
      </c>
      <c r="C101" s="95" t="s">
        <v>17</v>
      </c>
      <c r="D101" s="96"/>
      <c r="E101" s="95" t="s">
        <v>1</v>
      </c>
      <c r="F101" s="96"/>
      <c r="G101" s="19" t="s">
        <v>26</v>
      </c>
      <c r="H101" s="19" t="s">
        <v>27</v>
      </c>
    </row>
    <row r="102" spans="2:8" ht="12.75">
      <c r="B102" s="44"/>
      <c r="C102" s="90" t="s">
        <v>92</v>
      </c>
      <c r="D102" s="91"/>
      <c r="E102" s="91"/>
      <c r="F102" s="92"/>
      <c r="G102" s="93" t="s">
        <v>4</v>
      </c>
      <c r="H102" s="94"/>
    </row>
    <row r="103" spans="2:8" ht="12.75">
      <c r="B103" s="43">
        <v>1</v>
      </c>
      <c r="C103" s="46">
        <v>2</v>
      </c>
      <c r="D103" s="47"/>
      <c r="E103" s="46">
        <v>3</v>
      </c>
      <c r="F103" s="47"/>
      <c r="G103" s="31">
        <v>4</v>
      </c>
      <c r="H103" s="31">
        <v>5</v>
      </c>
    </row>
    <row r="104" spans="2:8" ht="31.5" customHeight="1">
      <c r="B104" s="70" t="s">
        <v>97</v>
      </c>
      <c r="C104" s="56">
        <f>12186937995.57</f>
        <v>12186937995.57</v>
      </c>
      <c r="D104" s="52"/>
      <c r="E104" s="56">
        <f>0</f>
        <v>0</v>
      </c>
      <c r="F104" s="49"/>
      <c r="G104" s="38"/>
      <c r="H104" s="36"/>
    </row>
    <row r="105" spans="2:8" ht="56.25">
      <c r="B105" s="67" t="s">
        <v>98</v>
      </c>
      <c r="C105" s="58">
        <f>429991565.67</f>
        <v>429991565.67</v>
      </c>
      <c r="D105" s="57"/>
      <c r="E105" s="58">
        <f>0</f>
        <v>0</v>
      </c>
      <c r="F105" s="57"/>
      <c r="G105" s="63"/>
      <c r="H105" s="64"/>
    </row>
    <row r="106" spans="2:8" ht="12.75">
      <c r="B106" s="67" t="s">
        <v>99</v>
      </c>
      <c r="C106" s="58">
        <f>8445794668.87</f>
        <v>8445794668.87</v>
      </c>
      <c r="D106" s="57"/>
      <c r="E106" s="58">
        <f>0</f>
        <v>0</v>
      </c>
      <c r="F106" s="57"/>
      <c r="G106" s="63"/>
      <c r="H106" s="64"/>
    </row>
    <row r="107" spans="2:8" ht="33.75">
      <c r="B107" s="67" t="s">
        <v>100</v>
      </c>
      <c r="C107" s="58">
        <f>0</f>
        <v>0</v>
      </c>
      <c r="D107" s="57"/>
      <c r="E107" s="58">
        <f>0</f>
        <v>0</v>
      </c>
      <c r="F107" s="57"/>
      <c r="G107" s="63"/>
      <c r="H107" s="64"/>
    </row>
    <row r="108" spans="2:8" ht="33.75">
      <c r="B108" s="67" t="s">
        <v>101</v>
      </c>
      <c r="C108" s="58">
        <f>1035332129.63</f>
        <v>1035332129.63</v>
      </c>
      <c r="D108" s="57"/>
      <c r="E108" s="58">
        <f>0</f>
        <v>0</v>
      </c>
      <c r="F108" s="57"/>
      <c r="G108" s="63"/>
      <c r="H108" s="64"/>
    </row>
    <row r="109" spans="2:8" ht="101.25">
      <c r="B109" s="67" t="s">
        <v>102</v>
      </c>
      <c r="C109" s="58">
        <f>2275819631.4</f>
        <v>2275819631.4</v>
      </c>
      <c r="D109" s="57"/>
      <c r="E109" s="58">
        <f>0</f>
        <v>0</v>
      </c>
      <c r="F109" s="57"/>
      <c r="G109" s="63"/>
      <c r="H109" s="64"/>
    </row>
    <row r="111" spans="2:8" ht="12.75">
      <c r="B111" s="44" t="s">
        <v>16</v>
      </c>
      <c r="C111" s="95" t="s">
        <v>17</v>
      </c>
      <c r="D111" s="96"/>
      <c r="E111" s="95" t="s">
        <v>1</v>
      </c>
      <c r="F111" s="96"/>
      <c r="G111" s="19" t="s">
        <v>26</v>
      </c>
      <c r="H111" s="19" t="s">
        <v>27</v>
      </c>
    </row>
    <row r="112" spans="2:8" ht="12.75">
      <c r="B112" s="44"/>
      <c r="C112" s="90" t="s">
        <v>92</v>
      </c>
      <c r="D112" s="91"/>
      <c r="E112" s="91"/>
      <c r="F112" s="92"/>
      <c r="G112" s="93" t="s">
        <v>4</v>
      </c>
      <c r="H112" s="94"/>
    </row>
    <row r="113" spans="2:8" ht="12.75">
      <c r="B113" s="43">
        <v>1</v>
      </c>
      <c r="C113" s="46">
        <v>2</v>
      </c>
      <c r="D113" s="47"/>
      <c r="E113" s="46">
        <v>3</v>
      </c>
      <c r="F113" s="47"/>
      <c r="G113" s="31">
        <v>4</v>
      </c>
      <c r="H113" s="31">
        <v>5</v>
      </c>
    </row>
    <row r="114" spans="2:8" ht="56.25">
      <c r="B114" s="70" t="s">
        <v>103</v>
      </c>
      <c r="C114" s="61">
        <f>0</f>
        <v>0</v>
      </c>
      <c r="D114" s="62"/>
      <c r="E114" s="61">
        <f>308055357.19</f>
        <v>308055357.19</v>
      </c>
      <c r="F114" s="60"/>
      <c r="G114" s="65"/>
      <c r="H114" s="66"/>
    </row>
    <row r="115" spans="2:8" ht="35.25" customHeight="1">
      <c r="B115" s="67" t="s">
        <v>104</v>
      </c>
      <c r="C115" s="58">
        <f>0</f>
        <v>0</v>
      </c>
      <c r="D115" s="57"/>
      <c r="E115" s="58">
        <f>246340628.13</f>
        <v>246340628.13</v>
      </c>
      <c r="F115" s="57"/>
      <c r="G115" s="63"/>
      <c r="H115" s="64"/>
    </row>
    <row r="116" spans="2:8" ht="45">
      <c r="B116" s="67" t="s">
        <v>105</v>
      </c>
      <c r="C116" s="58">
        <f>0</f>
        <v>0</v>
      </c>
      <c r="D116" s="57"/>
      <c r="E116" s="58">
        <f>54876551.38</f>
        <v>54876551.38</v>
      </c>
      <c r="F116" s="57"/>
      <c r="G116" s="63"/>
      <c r="H116" s="64"/>
    </row>
    <row r="117" spans="2:8" ht="78.75">
      <c r="B117" s="67" t="s">
        <v>106</v>
      </c>
      <c r="C117" s="58">
        <f>0</f>
        <v>0</v>
      </c>
      <c r="D117" s="57"/>
      <c r="E117" s="58">
        <f>38750</f>
        <v>38750</v>
      </c>
      <c r="F117" s="57"/>
      <c r="G117" s="63"/>
      <c r="H117" s="64"/>
    </row>
    <row r="118" spans="2:8" ht="56.25">
      <c r="B118" s="67" t="s">
        <v>107</v>
      </c>
      <c r="C118" s="58">
        <f>0</f>
        <v>0</v>
      </c>
      <c r="D118" s="57"/>
      <c r="E118" s="58">
        <f>0</f>
        <v>0</v>
      </c>
      <c r="F118" s="57"/>
      <c r="G118" s="63"/>
      <c r="H118" s="64"/>
    </row>
    <row r="119" spans="2:8" ht="56.25">
      <c r="B119" s="89" t="s">
        <v>108</v>
      </c>
      <c r="C119" s="85">
        <f>0</f>
        <v>0</v>
      </c>
      <c r="D119" s="86"/>
      <c r="E119" s="85">
        <f>5844641.92</f>
        <v>5844641.92</v>
      </c>
      <c r="F119" s="86"/>
      <c r="G119" s="87"/>
      <c r="H119" s="76"/>
    </row>
    <row r="120" spans="2:8" ht="56.25">
      <c r="B120" s="89" t="s">
        <v>109</v>
      </c>
      <c r="C120" s="85">
        <f>0</f>
        <v>0</v>
      </c>
      <c r="D120" s="86"/>
      <c r="E120" s="85">
        <f>0</f>
        <v>0</v>
      </c>
      <c r="F120" s="86"/>
      <c r="G120" s="87"/>
      <c r="H120" s="76"/>
    </row>
    <row r="121" spans="2:8" ht="93.75" customHeight="1">
      <c r="B121" s="89" t="s">
        <v>110</v>
      </c>
      <c r="C121" s="85">
        <f>0</f>
        <v>0</v>
      </c>
      <c r="D121" s="86"/>
      <c r="E121" s="85">
        <f>711860.24</f>
        <v>711860.24</v>
      </c>
      <c r="F121" s="86"/>
      <c r="G121" s="87"/>
      <c r="H121" s="76"/>
    </row>
    <row r="122" ht="12.75" hidden="1"/>
  </sheetData>
  <sheetProtection/>
  <mergeCells count="44">
    <mergeCell ref="I62:J62"/>
    <mergeCell ref="I61:J61"/>
    <mergeCell ref="I63:J63"/>
    <mergeCell ref="I64:J64"/>
    <mergeCell ref="I56:J56"/>
    <mergeCell ref="I67:J67"/>
    <mergeCell ref="L52:L54"/>
    <mergeCell ref="B3:B4"/>
    <mergeCell ref="K4:M4"/>
    <mergeCell ref="B50:M50"/>
    <mergeCell ref="I65:J65"/>
    <mergeCell ref="I66:J66"/>
    <mergeCell ref="I57:J57"/>
    <mergeCell ref="I58:J58"/>
    <mergeCell ref="I59:J59"/>
    <mergeCell ref="I60:J60"/>
    <mergeCell ref="B52:B55"/>
    <mergeCell ref="K52:K54"/>
    <mergeCell ref="K55:L55"/>
    <mergeCell ref="B1:M1"/>
    <mergeCell ref="I52:J54"/>
    <mergeCell ref="D52:D54"/>
    <mergeCell ref="E52:E54"/>
    <mergeCell ref="F53:F54"/>
    <mergeCell ref="F52:H52"/>
    <mergeCell ref="G53:H53"/>
    <mergeCell ref="C78:D78"/>
    <mergeCell ref="E78:F78"/>
    <mergeCell ref="C79:F79"/>
    <mergeCell ref="G79:H79"/>
    <mergeCell ref="C4:J4"/>
    <mergeCell ref="C55:J55"/>
    <mergeCell ref="C52:C54"/>
    <mergeCell ref="I68:J68"/>
    <mergeCell ref="I69:J69"/>
    <mergeCell ref="B76:M76"/>
    <mergeCell ref="C112:F112"/>
    <mergeCell ref="G112:H112"/>
    <mergeCell ref="C101:D101"/>
    <mergeCell ref="E101:F101"/>
    <mergeCell ref="C102:F102"/>
    <mergeCell ref="G102:H102"/>
    <mergeCell ref="C111:D111"/>
    <mergeCell ref="E111:F111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5" manualBreakCount="5">
    <brk id="21" max="255" man="1"/>
    <brk id="49" max="255" man="1"/>
    <brk id="75" max="255" man="1"/>
    <brk id="100" max="12" man="1"/>
    <brk id="11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Lipiński Jacek</cp:lastModifiedBy>
  <cp:lastPrinted>2018-03-19T09:08:58Z</cp:lastPrinted>
  <dcterms:created xsi:type="dcterms:W3CDTF">2001-05-17T08:58:03Z</dcterms:created>
  <dcterms:modified xsi:type="dcterms:W3CDTF">2018-05-25T09:00:28Z</dcterms:modified>
  <cp:category/>
  <cp:version/>
  <cp:contentType/>
  <cp:contentStatus/>
</cp:coreProperties>
</file>