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'doch_wyd'!$A$1:$M$90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8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<sst xmlns="http://schemas.openxmlformats.org/spreadsheetml/2006/main" count="539" uniqueCount="88">
  <si>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</si>
  <si>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</si>
  <si>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</si>
  <si>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</si>
  <si>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</si>
  <si>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</si>
  <si>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</si>
  <si>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</si>
  <si>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</si>
  <si>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</si>
  <si>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</si>
  <si>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</si>
  <si>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</si>
  <si>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</si>
  <si>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</si>
  <si>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</si>
  <si>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</si>
  <si>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</si>
  <si>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</si>
  <si>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</si>
  <si>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</si>
  <si>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</si>
  <si>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 xml:space="preserve">podatek od spadków i darowizn       </t>
  </si>
  <si>
    <t>podatek od czynności cywilnoprawnych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</si>
  <si>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</si>
  <si>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</si>
  <si>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</si>
  <si>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</si>
  <si>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</si>
  <si>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</si>
  <si>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</si>
  <si>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</si>
  <si>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</si>
  <si>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</si>
  <si>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</si>
  <si>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</si>
  <si>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</si>
  <si>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</si>
  <si>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</si>
  <si>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</si>
  <si>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</si>
  <si>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</si>
  <si>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</si>
  <si>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</si>
  <si>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</si>
  <si>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</si>
  <si>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</si>
  <si>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</si>
  <si>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</si>
  <si>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</si>
  <si>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</si>
  <si>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</si>
  <si>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</si>
  <si>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</si>
  <si>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</si>
  <si>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</si>
  <si>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</si>
  <si>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</si>
  <si>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</si>
  <si>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</si>
  <si>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</si>
  <si>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</si>
  <si>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</si>
  <si>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</si>
  <si>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</si>
  <si>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</si>
  <si>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</si>
  <si>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</si>
  <si>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</si>
  <si>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</si>
  <si>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</si>
  <si>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</si>
  <si>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</si>
  <si>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</si>
  <si>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</si>
  <si>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</si>
  <si>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</si>
  <si>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</si>
  <si>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</si>
  <si>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</si>
  <si>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</si>
  <si>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</si>
  <si>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</si>
  <si>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</si>
  <si>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</si>
  <si>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</si>
  <si>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</si>
  <si>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Informacja z wykonania budżetów miast na prawach powiatu za GRUDZIEŃ rok    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</si>
</sst>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right" vertical="center" wrapText="1" indent="1"/>
    </xf>
    <xf numFmtId="0" fontId="13" fillId="40" borderId="19" xfId="0" applyFont="1" applyFill="1" applyBorder="1" applyAlignment="1">
      <alignment horizontal="left" vertical="center" wrapText="1"/>
    </xf>
    <xf numFmtId="0" fontId="13" fillId="40" borderId="19" xfId="0" applyFont="1" applyFill="1" applyBorder="1" applyAlignment="1" quotePrefix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4" fontId="34" fillId="4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4" fontId="33" fillId="40" borderId="19" xfId="0" applyNumberFormat="1" applyFont="1" applyFill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19" xfId="0" applyNumberFormat="1" applyFont="1" applyBorder="1" applyAlignment="1">
      <alignment horizontal="right" vertical="center"/>
    </xf>
    <xf numFmtId="164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164" fontId="36" fillId="50" borderId="19" xfId="0" applyNumberFormat="1" applyFont="1" applyFill="1" applyBorder="1" applyAlignment="1">
      <alignment horizontal="right" vertical="center"/>
    </xf>
    <xf numFmtId="0" fontId="13" fillId="50" borderId="19" xfId="0" applyFont="1" applyFill="1" applyBorder="1" applyAlignment="1">
      <alignment horizontal="left" vertical="center" wrapText="1"/>
    </xf>
    <xf numFmtId="4" fontId="33" fillId="50" borderId="19" xfId="0" applyNumberFormat="1" applyFont="1" applyFill="1" applyBorder="1" applyAlignment="1">
      <alignment horizontal="right" vertical="center"/>
    </xf>
    <xf numFmtId="164" fontId="33" fillId="5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13" fillId="50" borderId="19" xfId="0" applyFont="1" applyFill="1" applyBorder="1" applyAlignment="1" quotePrefix="1">
      <alignment horizontal="left" vertical="center" wrapText="1" indent="1"/>
    </xf>
    <xf numFmtId="0" fontId="5" fillId="51" borderId="19" xfId="0" applyFont="1" applyFill="1" applyBorder="1" applyAlignment="1">
      <alignment horizontal="left" vertical="center" wrapText="1" indent="2"/>
    </xf>
    <xf numFmtId="164" fontId="34" fillId="51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4" fontId="34" fillId="0" borderId="0" xfId="0" applyNumberFormat="1" applyFont="1" applyFill="1" applyBorder="1" applyAlignment="1">
      <alignment horizontal="right" vertical="center"/>
    </xf>
    <xf numFmtId="0" fontId="13" fillId="50" borderId="19" xfId="0" applyFont="1" applyFill="1" applyBorder="1" applyAlignment="1">
      <alignment horizontal="left" vertical="center" wrapText="1" indent="1"/>
    </xf>
    <xf numFmtId="164" fontId="36" fillId="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0" borderId="19" xfId="0" applyNumberFormat="1" applyFont="1" applyFill="1" applyBorder="1" applyAlignment="1">
      <alignment horizontal="right" vertical="center"/>
    </xf>
    <xf numFmtId="4" fontId="33" fillId="50" borderId="19" xfId="0" applyNumberFormat="1" applyFont="1" applyFill="1" applyBorder="1" applyAlignment="1">
      <alignment horizontal="right" vertical="center" wrapText="1"/>
    </xf>
    <xf numFmtId="4" fontId="34" fillId="50" borderId="19" xfId="0" applyNumberFormat="1" applyFont="1" applyFill="1" applyBorder="1" applyAlignment="1">
      <alignment horizontal="right" vertical="center" wrapText="1"/>
    </xf>
    <xf numFmtId="3" fontId="33" fillId="0" borderId="20" xfId="0" applyNumberFormat="1" applyFont="1" applyBorder="1" applyAlignment="1">
      <alignment horizontal="right" vertical="center"/>
    </xf>
    <xf numFmtId="4" fontId="34" fillId="50" borderId="20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" fontId="34" fillId="0" borderId="20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/>
    </xf>
    <xf numFmtId="4" fontId="36" fillId="50" borderId="19" xfId="0" applyNumberFormat="1" applyFont="1" applyFill="1" applyBorder="1" applyAlignment="1">
      <alignment horizontal="right" vertical="center"/>
    </xf>
    <xf numFmtId="4" fontId="37" fillId="50" borderId="19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9" width="12.25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7.75" customHeight="1">
      <c r="B1" s="73" t="s">
        <v>87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63" customHeight="1">
      <c r="B2" s="80" t="s">
        <v>0</v>
      </c>
      <c r="C2" s="14" t="s">
        <v>26</v>
      </c>
      <c r="D2" s="14" t="s">
        <v>27</v>
      </c>
      <c r="E2" s="14" t="s">
        <v>28</v>
      </c>
      <c r="F2" s="14" t="s">
        <v>29</v>
      </c>
      <c r="G2" s="14" t="s">
        <v>30</v>
      </c>
      <c r="H2" s="14" t="s">
        <v>31</v>
      </c>
      <c r="I2" s="14" t="s">
        <v>32</v>
      </c>
      <c r="J2" s="14" t="s">
        <v>33</v>
      </c>
      <c r="K2" s="15" t="s">
        <v>1</v>
      </c>
      <c r="L2" s="14" t="s">
        <v>15</v>
      </c>
      <c r="M2" s="14" t="s">
        <v>2</v>
      </c>
    </row>
    <row r="3" spans="2:13" ht="12.75">
      <c r="B3" s="80"/>
      <c r="C3" s="78" t="s">
        <v>79</v>
      </c>
      <c r="D3" s="78"/>
      <c r="E3" s="78"/>
      <c r="F3" s="78"/>
      <c r="G3" s="78"/>
      <c r="H3" s="78"/>
      <c r="I3" s="78"/>
      <c r="J3" s="78"/>
      <c r="K3" s="78" t="s">
        <v>3</v>
      </c>
      <c r="L3" s="78"/>
      <c r="M3" s="78"/>
    </row>
    <row r="4" spans="2:13" ht="12.75">
      <c r="B4" s="15">
        <v>1</v>
      </c>
      <c r="C4" s="17">
        <v>2</v>
      </c>
      <c r="D4" s="17">
        <v>3</v>
      </c>
      <c r="E4" s="17">
        <v>4</v>
      </c>
      <c r="F4" s="15">
        <v>5</v>
      </c>
      <c r="G4" s="17">
        <v>6</v>
      </c>
      <c r="H4" s="15">
        <v>7</v>
      </c>
      <c r="I4" s="17">
        <v>8</v>
      </c>
      <c r="J4" s="15">
        <v>9</v>
      </c>
      <c r="K4" s="17">
        <v>10</v>
      </c>
      <c r="L4" s="15">
        <v>11</v>
      </c>
      <c r="M4" s="17">
        <v>12</v>
      </c>
    </row>
    <row r="5" spans="2:13" ht="12.75">
      <c r="B5" s="46" t="s">
        <v>4</v>
      </c>
      <c r="C5" s="47">
        <f>85792187079.21</f>
        <v>85792187079.21</v>
      </c>
      <c r="D5" s="47">
        <f>85556155060.93</f>
        <v>85556155060.93</v>
      </c>
      <c r="E5" s="47" t="s">
        <v>60</v>
      </c>
      <c r="F5" s="47" t="s">
        <v>60</v>
      </c>
      <c r="G5" s="47" t="s">
        <v>60</v>
      </c>
      <c r="H5" s="47" t="s">
        <v>60</v>
      </c>
      <c r="I5" s="47" t="s">
        <v>60</v>
      </c>
      <c r="J5" s="47" t="s">
        <v>60</v>
      </c>
      <c r="K5" s="48">
        <f aca="true" t="shared" si="0" ref="K5:K63">IF($D$5=0,"",100*$D5/$D$5)</f>
        <v>100</v>
      </c>
      <c r="L5" s="48">
        <f aca="true" t="shared" si="1" ref="L5:L63">IF(C5=0,"",100*D5/C5)</f>
        <v>99.72487935520039</v>
      </c>
      <c r="M5" s="48"/>
    </row>
    <row r="6" spans="2:13" ht="25.5" customHeight="1">
      <c r="B6" s="22" t="s">
        <v>61</v>
      </c>
      <c r="C6" s="25">
        <f>C5-C23-C50</f>
        <v>51278087355.23</v>
      </c>
      <c r="D6" s="25">
        <f>D5-D23-D50</f>
        <v>52366724779.42</v>
      </c>
      <c r="E6" s="47" t="s">
        <v>60</v>
      </c>
      <c r="F6" s="47" t="s">
        <v>60</v>
      </c>
      <c r="G6" s="47" t="s">
        <v>60</v>
      </c>
      <c r="H6" s="47" t="s">
        <v>60</v>
      </c>
      <c r="I6" s="47" t="s">
        <v>60</v>
      </c>
      <c r="J6" s="47" t="s">
        <v>60</v>
      </c>
      <c r="K6" s="26">
        <f t="shared" si="0"/>
        <v>61.20743123873007</v>
      </c>
      <c r="L6" s="26">
        <f t="shared" si="1"/>
        <v>102.12300707834214</v>
      </c>
      <c r="M6" s="26">
        <f aca="true" t="shared" si="2" ref="M6:M22">IF($D$6=0,"",100*$D6/$D$6)</f>
        <v>100</v>
      </c>
    </row>
    <row r="7" spans="2:13" ht="33.75">
      <c r="B7" s="18" t="s">
        <v>62</v>
      </c>
      <c r="C7" s="27">
        <f>1668158296.67</f>
        <v>1668158296.67</v>
      </c>
      <c r="D7" s="27">
        <f>1881830757.09</f>
        <v>1881830757.09</v>
      </c>
      <c r="E7" s="47" t="s">
        <v>60</v>
      </c>
      <c r="F7" s="47" t="s">
        <v>60</v>
      </c>
      <c r="G7" s="47" t="s">
        <v>60</v>
      </c>
      <c r="H7" s="47" t="s">
        <v>60</v>
      </c>
      <c r="I7" s="47" t="s">
        <v>60</v>
      </c>
      <c r="J7" s="47" t="s">
        <v>60</v>
      </c>
      <c r="K7" s="28">
        <f t="shared" si="0"/>
        <v>2.199527030813655</v>
      </c>
      <c r="L7" s="28">
        <f t="shared" si="1"/>
        <v>112.80888395582936</v>
      </c>
      <c r="M7" s="28">
        <f t="shared" si="2"/>
        <v>3.5935620664012866</v>
      </c>
    </row>
    <row r="8" spans="2:13" ht="33.75">
      <c r="B8" s="19" t="s">
        <v>63</v>
      </c>
      <c r="C8" s="31">
        <f>355770640.32</f>
        <v>355770640.32</v>
      </c>
      <c r="D8" s="31">
        <f>392982052.27</f>
        <v>392982052.27</v>
      </c>
      <c r="E8" s="47" t="s">
        <v>60</v>
      </c>
      <c r="F8" s="47" t="s">
        <v>60</v>
      </c>
      <c r="G8" s="47" t="s">
        <v>60</v>
      </c>
      <c r="H8" s="47" t="s">
        <v>60</v>
      </c>
      <c r="I8" s="47" t="s">
        <v>60</v>
      </c>
      <c r="J8" s="47" t="s">
        <v>60</v>
      </c>
      <c r="K8" s="28">
        <f t="shared" si="0"/>
        <v>0.4593264528894881</v>
      </c>
      <c r="L8" s="28">
        <f t="shared" si="1"/>
        <v>110.45938245958969</v>
      </c>
      <c r="M8" s="28">
        <f t="shared" si="2"/>
        <v>0.7504422969458672</v>
      </c>
    </row>
    <row r="9" spans="2:13" ht="33.75">
      <c r="B9" s="19" t="s">
        <v>64</v>
      </c>
      <c r="C9" s="31">
        <f>17167192173.73</f>
        <v>17167192173.73</v>
      </c>
      <c r="D9" s="31">
        <f>17913454697</f>
        <v>17913454697</v>
      </c>
      <c r="E9" s="47" t="s">
        <v>60</v>
      </c>
      <c r="F9" s="47" t="s">
        <v>60</v>
      </c>
      <c r="G9" s="47" t="s">
        <v>60</v>
      </c>
      <c r="H9" s="47" t="s">
        <v>60</v>
      </c>
      <c r="I9" s="47" t="s">
        <v>60</v>
      </c>
      <c r="J9" s="47" t="s">
        <v>60</v>
      </c>
      <c r="K9" s="28">
        <f t="shared" si="0"/>
        <v>20.937657476826402</v>
      </c>
      <c r="L9" s="28">
        <f t="shared" si="1"/>
        <v>104.34702725826047</v>
      </c>
      <c r="M9" s="28">
        <f t="shared" si="2"/>
        <v>34.2077049356349</v>
      </c>
    </row>
    <row r="10" spans="2:13" ht="33.75">
      <c r="B10" s="19" t="s">
        <v>65</v>
      </c>
      <c r="C10" s="31">
        <f>4632012744</f>
        <v>4632012744</v>
      </c>
      <c r="D10" s="31">
        <f>4827686811</f>
        <v>4827686811</v>
      </c>
      <c r="E10" s="47" t="s">
        <v>60</v>
      </c>
      <c r="F10" s="47" t="s">
        <v>60</v>
      </c>
      <c r="G10" s="47" t="s">
        <v>60</v>
      </c>
      <c r="H10" s="47" t="s">
        <v>60</v>
      </c>
      <c r="I10" s="47" t="s">
        <v>60</v>
      </c>
      <c r="J10" s="47" t="s">
        <v>60</v>
      </c>
      <c r="K10" s="28">
        <f t="shared" si="0"/>
        <v>5.642711278413454</v>
      </c>
      <c r="L10" s="28">
        <f t="shared" si="1"/>
        <v>104.22438533342688</v>
      </c>
      <c r="M10" s="28">
        <f t="shared" si="2"/>
        <v>9.218997046951598</v>
      </c>
    </row>
    <row r="11" spans="2:13" ht="12.75">
      <c r="B11" s="19" t="s">
        <v>16</v>
      </c>
      <c r="C11" s="31">
        <f>21456499</f>
        <v>21456499</v>
      </c>
      <c r="D11" s="31">
        <f>21509798.08</f>
        <v>21509798.08</v>
      </c>
      <c r="E11" s="47" t="s">
        <v>60</v>
      </c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28">
        <f t="shared" si="0"/>
        <v>0.02514114626198606</v>
      </c>
      <c r="L11" s="28">
        <f t="shared" si="1"/>
        <v>100.2484052966889</v>
      </c>
      <c r="M11" s="28">
        <f t="shared" si="2"/>
        <v>0.04107531676003022</v>
      </c>
    </row>
    <row r="12" spans="2:13" ht="12.75">
      <c r="B12" s="19" t="s">
        <v>17</v>
      </c>
      <c r="C12" s="31">
        <f>8730163565</f>
        <v>8730163565</v>
      </c>
      <c r="D12" s="49">
        <f>8816345323.52</f>
        <v>8816345323.52</v>
      </c>
      <c r="E12" s="47" t="s">
        <v>60</v>
      </c>
      <c r="F12" s="47" t="s">
        <v>60</v>
      </c>
      <c r="G12" s="47" t="s">
        <v>60</v>
      </c>
      <c r="H12" s="47" t="s">
        <v>60</v>
      </c>
      <c r="I12" s="47" t="s">
        <v>60</v>
      </c>
      <c r="J12" s="47" t="s">
        <v>60</v>
      </c>
      <c r="K12" s="28">
        <f t="shared" si="0"/>
        <v>10.304747001827417</v>
      </c>
      <c r="L12" s="28">
        <f t="shared" si="1"/>
        <v>100.987172323615</v>
      </c>
      <c r="M12" s="28">
        <f t="shared" si="2"/>
        <v>16.835777606211497</v>
      </c>
    </row>
    <row r="13" spans="2:13" ht="12.75">
      <c r="B13" s="19" t="s">
        <v>18</v>
      </c>
      <c r="C13" s="31">
        <f>4437410</f>
        <v>4437410</v>
      </c>
      <c r="D13" s="49">
        <f>4751907.63</f>
        <v>4751907.63</v>
      </c>
      <c r="E13" s="47" t="s">
        <v>60</v>
      </c>
      <c r="F13" s="47" t="s">
        <v>60</v>
      </c>
      <c r="G13" s="47" t="s">
        <v>60</v>
      </c>
      <c r="H13" s="47" t="s">
        <v>60</v>
      </c>
      <c r="I13" s="47" t="s">
        <v>60</v>
      </c>
      <c r="J13" s="47" t="s">
        <v>60</v>
      </c>
      <c r="K13" s="28">
        <f t="shared" si="0"/>
        <v>0.005554138830357516</v>
      </c>
      <c r="L13" s="28">
        <f t="shared" si="1"/>
        <v>107.08741427995159</v>
      </c>
      <c r="M13" s="28">
        <f t="shared" si="2"/>
        <v>0.009074288395953853</v>
      </c>
    </row>
    <row r="14" spans="2:13" ht="22.5">
      <c r="B14" s="19" t="s">
        <v>19</v>
      </c>
      <c r="C14" s="31">
        <f>353787623</f>
        <v>353787623</v>
      </c>
      <c r="D14" s="49">
        <f>348991736.29</f>
        <v>348991736.29</v>
      </c>
      <c r="E14" s="47" t="s">
        <v>60</v>
      </c>
      <c r="F14" s="47" t="s">
        <v>60</v>
      </c>
      <c r="G14" s="47" t="s">
        <v>60</v>
      </c>
      <c r="H14" s="47" t="s">
        <v>60</v>
      </c>
      <c r="I14" s="47" t="s">
        <v>60</v>
      </c>
      <c r="J14" s="47" t="s">
        <v>60</v>
      </c>
      <c r="K14" s="28">
        <f t="shared" si="0"/>
        <v>0.40790956073407075</v>
      </c>
      <c r="L14" s="28">
        <f t="shared" si="1"/>
        <v>98.64441648090103</v>
      </c>
      <c r="M14" s="28">
        <f t="shared" si="2"/>
        <v>0.6664379675452855</v>
      </c>
    </row>
    <row r="15" spans="2:13" ht="33.75">
      <c r="B15" s="19" t="s">
        <v>35</v>
      </c>
      <c r="C15" s="31">
        <f>32007064</f>
        <v>32007064</v>
      </c>
      <c r="D15" s="49">
        <f>29875339.28</f>
        <v>29875339.28</v>
      </c>
      <c r="E15" s="47" t="s">
        <v>60</v>
      </c>
      <c r="F15" s="47" t="s">
        <v>60</v>
      </c>
      <c r="G15" s="47" t="s">
        <v>60</v>
      </c>
      <c r="H15" s="47" t="s">
        <v>60</v>
      </c>
      <c r="I15" s="47" t="s">
        <v>60</v>
      </c>
      <c r="J15" s="47" t="s">
        <v>60</v>
      </c>
      <c r="K15" s="28">
        <f t="shared" si="0"/>
        <v>0.03491898304537396</v>
      </c>
      <c r="L15" s="28">
        <f t="shared" si="1"/>
        <v>93.33983048242101</v>
      </c>
      <c r="M15" s="28">
        <f t="shared" si="2"/>
        <v>0.05705023448734174</v>
      </c>
    </row>
    <row r="16" spans="2:13" ht="22.5" customHeight="1">
      <c r="B16" s="19" t="s">
        <v>22</v>
      </c>
      <c r="C16" s="31">
        <f>156691827</f>
        <v>156691827</v>
      </c>
      <c r="D16" s="49">
        <f>166469364</f>
        <v>166469364</v>
      </c>
      <c r="E16" s="47" t="s">
        <v>60</v>
      </c>
      <c r="F16" s="47" t="s">
        <v>60</v>
      </c>
      <c r="G16" s="47" t="s">
        <v>60</v>
      </c>
      <c r="H16" s="47" t="s">
        <v>60</v>
      </c>
      <c r="I16" s="47" t="s">
        <v>60</v>
      </c>
      <c r="J16" s="47" t="s">
        <v>60</v>
      </c>
      <c r="K16" s="28">
        <f t="shared" si="0"/>
        <v>0.1945732178841447</v>
      </c>
      <c r="L16" s="28">
        <f t="shared" si="1"/>
        <v>106.23997893648914</v>
      </c>
      <c r="M16" s="28">
        <f t="shared" si="2"/>
        <v>0.3178914944579885</v>
      </c>
    </row>
    <row r="17" spans="2:13" ht="22.5" customHeight="1">
      <c r="B17" s="19" t="s">
        <v>23</v>
      </c>
      <c r="C17" s="31">
        <f>1362529187</f>
        <v>1362529187</v>
      </c>
      <c r="D17" s="49">
        <f>1564795419.31</f>
        <v>1564795419.31</v>
      </c>
      <c r="E17" s="47" t="s">
        <v>60</v>
      </c>
      <c r="F17" s="47" t="s">
        <v>60</v>
      </c>
      <c r="G17" s="47" t="s">
        <v>60</v>
      </c>
      <c r="H17" s="47" t="s">
        <v>60</v>
      </c>
      <c r="I17" s="47" t="s">
        <v>60</v>
      </c>
      <c r="J17" s="47" t="s">
        <v>60</v>
      </c>
      <c r="K17" s="28">
        <f t="shared" si="0"/>
        <v>1.8289688429729098</v>
      </c>
      <c r="L17" s="28">
        <f t="shared" si="1"/>
        <v>114.8449100569616</v>
      </c>
      <c r="M17" s="28">
        <f t="shared" si="2"/>
        <v>2.98814834401284</v>
      </c>
    </row>
    <row r="18" spans="2:13" ht="12.75">
      <c r="B18" s="19" t="s">
        <v>52</v>
      </c>
      <c r="C18" s="31">
        <f>284110000</f>
        <v>284110000</v>
      </c>
      <c r="D18" s="49">
        <f>306059561.34</f>
        <v>306059561.34</v>
      </c>
      <c r="E18" s="47" t="s">
        <v>60</v>
      </c>
      <c r="F18" s="47" t="s">
        <v>60</v>
      </c>
      <c r="G18" s="47" t="s">
        <v>60</v>
      </c>
      <c r="H18" s="47" t="s">
        <v>60</v>
      </c>
      <c r="I18" s="47" t="s">
        <v>60</v>
      </c>
      <c r="J18" s="47" t="s">
        <v>60</v>
      </c>
      <c r="K18" s="28">
        <f t="shared" si="0"/>
        <v>0.35772944812916785</v>
      </c>
      <c r="L18" s="28">
        <f t="shared" si="1"/>
        <v>107.72572642286437</v>
      </c>
      <c r="M18" s="28">
        <f t="shared" si="2"/>
        <v>0.5844542744064847</v>
      </c>
    </row>
    <row r="19" spans="2:13" ht="12.75">
      <c r="B19" s="19" t="s">
        <v>53</v>
      </c>
      <c r="C19" s="31">
        <f>10550710</f>
        <v>10550710</v>
      </c>
      <c r="D19" s="49">
        <f>10079402.27</f>
        <v>10079402.27</v>
      </c>
      <c r="E19" s="47" t="s">
        <v>60</v>
      </c>
      <c r="F19" s="47" t="s">
        <v>60</v>
      </c>
      <c r="G19" s="47" t="s">
        <v>60</v>
      </c>
      <c r="H19" s="47" t="s">
        <v>60</v>
      </c>
      <c r="I19" s="47" t="s">
        <v>60</v>
      </c>
      <c r="J19" s="47" t="s">
        <v>60</v>
      </c>
      <c r="K19" s="28">
        <f t="shared" si="0"/>
        <v>0.01178103698421442</v>
      </c>
      <c r="L19" s="28">
        <f t="shared" si="1"/>
        <v>95.53292877920065</v>
      </c>
      <c r="M19" s="28">
        <f t="shared" si="2"/>
        <v>0.019247723267889347</v>
      </c>
    </row>
    <row r="20" spans="2:13" ht="12.75">
      <c r="B20" s="19" t="s">
        <v>54</v>
      </c>
      <c r="C20" s="31">
        <f>23199620</f>
        <v>23199620</v>
      </c>
      <c r="D20" s="49">
        <f>22406603.04</f>
        <v>22406603.04</v>
      </c>
      <c r="E20" s="47" t="s">
        <v>60</v>
      </c>
      <c r="F20" s="47" t="s">
        <v>60</v>
      </c>
      <c r="G20" s="47" t="s">
        <v>60</v>
      </c>
      <c r="H20" s="47" t="s">
        <v>60</v>
      </c>
      <c r="I20" s="47" t="s">
        <v>60</v>
      </c>
      <c r="J20" s="47" t="s">
        <v>60</v>
      </c>
      <c r="K20" s="28">
        <f t="shared" si="0"/>
        <v>0.026189352506599706</v>
      </c>
      <c r="L20" s="28">
        <f t="shared" si="1"/>
        <v>96.58176745998426</v>
      </c>
      <c r="M20" s="28">
        <f t="shared" si="2"/>
        <v>0.042787864114819996</v>
      </c>
    </row>
    <row r="21" spans="2:13" ht="12.75">
      <c r="B21" s="19" t="s">
        <v>20</v>
      </c>
      <c r="C21" s="31">
        <f>4273694650.88</f>
        <v>4273694650.88</v>
      </c>
      <c r="D21" s="49">
        <f>3927003325.63</f>
        <v>3927003325.63</v>
      </c>
      <c r="E21" s="47" t="s">
        <v>60</v>
      </c>
      <c r="F21" s="47" t="s">
        <v>60</v>
      </c>
      <c r="G21" s="47" t="s">
        <v>60</v>
      </c>
      <c r="H21" s="47" t="s">
        <v>60</v>
      </c>
      <c r="I21" s="47" t="s">
        <v>60</v>
      </c>
      <c r="J21" s="47" t="s">
        <v>60</v>
      </c>
      <c r="K21" s="28">
        <f t="shared" si="0"/>
        <v>4.5899717242240845</v>
      </c>
      <c r="L21" s="28">
        <f t="shared" si="1"/>
        <v>91.88778437461336</v>
      </c>
      <c r="M21" s="28">
        <f t="shared" si="2"/>
        <v>7.499043222908039</v>
      </c>
    </row>
    <row r="22" spans="2:13" ht="13.5" customHeight="1">
      <c r="B22" s="19" t="s">
        <v>21</v>
      </c>
      <c r="C22" s="31">
        <f>C6-SUM(C7:C21)</f>
        <v>12202325344.630005</v>
      </c>
      <c r="D22" s="31">
        <f>D6-SUM(D7:D21)</f>
        <v>12132482681.670006</v>
      </c>
      <c r="E22" s="47" t="s">
        <v>60</v>
      </c>
      <c r="F22" s="47" t="s">
        <v>60</v>
      </c>
      <c r="G22" s="47" t="s">
        <v>60</v>
      </c>
      <c r="H22" s="47" t="s">
        <v>60</v>
      </c>
      <c r="I22" s="47" t="s">
        <v>60</v>
      </c>
      <c r="J22" s="47" t="s">
        <v>60</v>
      </c>
      <c r="K22" s="28">
        <f t="shared" si="0"/>
        <v>14.180724546386745</v>
      </c>
      <c r="L22" s="28">
        <f t="shared" si="1"/>
        <v>99.42762825127642</v>
      </c>
      <c r="M22" s="28">
        <f t="shared" si="2"/>
        <v>23.168305317498188</v>
      </c>
    </row>
    <row r="23" spans="2:13" ht="26.25" customHeight="1">
      <c r="B23" s="46" t="s">
        <v>71</v>
      </c>
      <c r="C23" s="47">
        <f>C24+C46+C48</f>
        <v>19132390113.980003</v>
      </c>
      <c r="D23" s="47">
        <f>D24+D46+D48</f>
        <v>17807409977.51</v>
      </c>
      <c r="E23" s="47" t="s">
        <v>60</v>
      </c>
      <c r="F23" s="51" t="s">
        <v>60</v>
      </c>
      <c r="G23" s="51" t="s">
        <v>60</v>
      </c>
      <c r="H23" s="51" t="s">
        <v>60</v>
      </c>
      <c r="I23" s="51" t="s">
        <v>60</v>
      </c>
      <c r="J23" s="51" t="s">
        <v>60</v>
      </c>
      <c r="K23" s="48">
        <f t="shared" si="0"/>
        <v>20.81370997192219</v>
      </c>
      <c r="L23" s="48">
        <f t="shared" si="1"/>
        <v>93.07467530937578</v>
      </c>
      <c r="M23" s="52"/>
    </row>
    <row r="24" spans="2:13" ht="25.5" customHeight="1">
      <c r="B24" s="46" t="s">
        <v>66</v>
      </c>
      <c r="C24" s="47">
        <f>C25+C32+C39</f>
        <v>13723395468.220001</v>
      </c>
      <c r="D24" s="47">
        <f>D25+D32+D39</f>
        <v>13601820031.25</v>
      </c>
      <c r="E24" s="47" t="s">
        <v>60</v>
      </c>
      <c r="F24" s="51" t="s">
        <v>60</v>
      </c>
      <c r="G24" s="51" t="s">
        <v>60</v>
      </c>
      <c r="H24" s="51" t="s">
        <v>60</v>
      </c>
      <c r="I24" s="51" t="s">
        <v>60</v>
      </c>
      <c r="J24" s="51" t="s">
        <v>60</v>
      </c>
      <c r="K24" s="48">
        <f t="shared" si="0"/>
        <v>15.898119803961826</v>
      </c>
      <c r="L24" s="48">
        <f t="shared" si="1"/>
        <v>99.11410089979888</v>
      </c>
      <c r="M24" s="33"/>
    </row>
    <row r="25" spans="2:13" ht="13.5" customHeight="1">
      <c r="B25" s="23" t="s">
        <v>55</v>
      </c>
      <c r="C25" s="25">
        <f>C26+C28+C30</f>
        <v>11250124847.26</v>
      </c>
      <c r="D25" s="25">
        <f>D26+D28+D30</f>
        <v>11174271016.08</v>
      </c>
      <c r="E25" s="47" t="s">
        <v>60</v>
      </c>
      <c r="F25" s="29" t="s">
        <v>60</v>
      </c>
      <c r="G25" s="29" t="s">
        <v>60</v>
      </c>
      <c r="H25" s="29" t="s">
        <v>60</v>
      </c>
      <c r="I25" s="29" t="s">
        <v>60</v>
      </c>
      <c r="J25" s="29" t="s">
        <v>60</v>
      </c>
      <c r="K25" s="26">
        <f t="shared" si="0"/>
        <v>13.06074473323642</v>
      </c>
      <c r="L25" s="26">
        <f t="shared" si="1"/>
        <v>99.32575120534352</v>
      </c>
      <c r="M25" s="33"/>
    </row>
    <row r="26" spans="2:13" ht="22.5" customHeight="1">
      <c r="B26" s="19" t="s">
        <v>8</v>
      </c>
      <c r="C26" s="27">
        <f>9727889877.87</f>
        <v>9727889877.87</v>
      </c>
      <c r="D26" s="32">
        <f>9681604982.02</f>
        <v>9681604982.02</v>
      </c>
      <c r="E26" s="47" t="s">
        <v>60</v>
      </c>
      <c r="F26" s="27" t="s">
        <v>60</v>
      </c>
      <c r="G26" s="27" t="s">
        <v>60</v>
      </c>
      <c r="H26" s="27" t="s">
        <v>60</v>
      </c>
      <c r="I26" s="27" t="s">
        <v>60</v>
      </c>
      <c r="J26" s="27" t="s">
        <v>60</v>
      </c>
      <c r="K26" s="28">
        <f t="shared" si="0"/>
        <v>11.316082373179476</v>
      </c>
      <c r="L26" s="28">
        <f t="shared" si="1"/>
        <v>99.52420415494943</v>
      </c>
      <c r="M26" s="33"/>
    </row>
    <row r="27" spans="2:13" ht="12.75">
      <c r="B27" s="20" t="s">
        <v>5</v>
      </c>
      <c r="C27" s="31">
        <f>2591905.4</f>
        <v>2591905.4</v>
      </c>
      <c r="D27" s="31">
        <f>2378620.45</f>
        <v>2378620.45</v>
      </c>
      <c r="E27" s="47" t="s">
        <v>60</v>
      </c>
      <c r="F27" s="31" t="s">
        <v>60</v>
      </c>
      <c r="G27" s="31" t="s">
        <v>60</v>
      </c>
      <c r="H27" s="31" t="s">
        <v>60</v>
      </c>
      <c r="I27" s="31" t="s">
        <v>60</v>
      </c>
      <c r="J27" s="31" t="s">
        <v>60</v>
      </c>
      <c r="K27" s="28">
        <f t="shared" si="0"/>
        <v>0.002780186239442426</v>
      </c>
      <c r="L27" s="28">
        <f t="shared" si="1"/>
        <v>91.77111363709494</v>
      </c>
      <c r="M27" s="33"/>
    </row>
    <row r="28" spans="2:13" ht="13.5" customHeight="1">
      <c r="B28" s="19" t="s">
        <v>6</v>
      </c>
      <c r="C28" s="31">
        <f>1509180698.99</f>
        <v>1509180698.99</v>
      </c>
      <c r="D28" s="49">
        <f>1480540660.09</f>
        <v>1480540660.09</v>
      </c>
      <c r="E28" s="47" t="s">
        <v>60</v>
      </c>
      <c r="F28" s="31" t="s">
        <v>60</v>
      </c>
      <c r="G28" s="31" t="s">
        <v>60</v>
      </c>
      <c r="H28" s="31" t="s">
        <v>60</v>
      </c>
      <c r="I28" s="31" t="s">
        <v>60</v>
      </c>
      <c r="J28" s="31" t="s">
        <v>60</v>
      </c>
      <c r="K28" s="28">
        <f t="shared" si="0"/>
        <v>1.7304899443361061</v>
      </c>
      <c r="L28" s="28">
        <f t="shared" si="1"/>
        <v>98.10227901011675</v>
      </c>
      <c r="M28" s="33"/>
    </row>
    <row r="29" spans="2:13" ht="12.75">
      <c r="B29" s="20" t="s">
        <v>5</v>
      </c>
      <c r="C29" s="31">
        <f>92096711.94</f>
        <v>92096711.94</v>
      </c>
      <c r="D29" s="31">
        <f>74672240.14</f>
        <v>74672240.14</v>
      </c>
      <c r="E29" s="47" t="s">
        <v>60</v>
      </c>
      <c r="F29" s="31" t="s">
        <v>60</v>
      </c>
      <c r="G29" s="31" t="s">
        <v>60</v>
      </c>
      <c r="H29" s="31" t="s">
        <v>60</v>
      </c>
      <c r="I29" s="31" t="s">
        <v>60</v>
      </c>
      <c r="J29" s="31" t="s">
        <v>60</v>
      </c>
      <c r="K29" s="28">
        <f t="shared" si="0"/>
        <v>0.08727863014276546</v>
      </c>
      <c r="L29" s="28">
        <f t="shared" si="1"/>
        <v>81.08024550175922</v>
      </c>
      <c r="M29" s="33"/>
    </row>
    <row r="30" spans="2:13" ht="33.75">
      <c r="B30" s="19" t="s">
        <v>9</v>
      </c>
      <c r="C30" s="31">
        <f>13054270.4</f>
        <v>13054270.4</v>
      </c>
      <c r="D30" s="49">
        <f>12125373.97</f>
        <v>12125373.97</v>
      </c>
      <c r="E30" s="47" t="s">
        <v>60</v>
      </c>
      <c r="F30" s="31" t="s">
        <v>60</v>
      </c>
      <c r="G30" s="31" t="s">
        <v>60</v>
      </c>
      <c r="H30" s="31" t="s">
        <v>60</v>
      </c>
      <c r="I30" s="31" t="s">
        <v>60</v>
      </c>
      <c r="J30" s="31" t="s">
        <v>60</v>
      </c>
      <c r="K30" s="28">
        <f t="shared" si="0"/>
        <v>0.01417241572083826</v>
      </c>
      <c r="L30" s="28">
        <f t="shared" si="1"/>
        <v>92.88434817467854</v>
      </c>
      <c r="M30" s="33"/>
    </row>
    <row r="31" spans="2:13" ht="12.75">
      <c r="B31" s="20" t="s">
        <v>5</v>
      </c>
      <c r="C31" s="31">
        <f>2308306.03</f>
        <v>2308306.03</v>
      </c>
      <c r="D31" s="31">
        <f>1714512.92</f>
        <v>1714512.92</v>
      </c>
      <c r="E31" s="47" t="s">
        <v>60</v>
      </c>
      <c r="F31" s="31" t="s">
        <v>60</v>
      </c>
      <c r="G31" s="31" t="s">
        <v>60</v>
      </c>
      <c r="H31" s="31" t="s">
        <v>60</v>
      </c>
      <c r="I31" s="31" t="s">
        <v>60</v>
      </c>
      <c r="J31" s="31" t="s">
        <v>60</v>
      </c>
      <c r="K31" s="28">
        <f t="shared" si="0"/>
        <v>0.0020039620980851535</v>
      </c>
      <c r="L31" s="28">
        <f t="shared" si="1"/>
        <v>74.27580648827573</v>
      </c>
      <c r="M31" s="33"/>
    </row>
    <row r="32" spans="2:13" ht="13.5" customHeight="1">
      <c r="B32" s="53" t="s">
        <v>56</v>
      </c>
      <c r="C32" s="47">
        <f>C33+C35+C37</f>
        <v>1861155035.76</v>
      </c>
      <c r="D32" s="47">
        <f>D33+D35+D37</f>
        <v>1840083868.75</v>
      </c>
      <c r="E32" s="47" t="s">
        <v>60</v>
      </c>
      <c r="F32" s="51" t="s">
        <v>60</v>
      </c>
      <c r="G32" s="51" t="s">
        <v>60</v>
      </c>
      <c r="H32" s="51" t="s">
        <v>60</v>
      </c>
      <c r="I32" s="51" t="s">
        <v>60</v>
      </c>
      <c r="J32" s="51" t="s">
        <v>60</v>
      </c>
      <c r="K32" s="48">
        <f t="shared" si="0"/>
        <v>2.150732308434804</v>
      </c>
      <c r="L32" s="48">
        <f t="shared" si="1"/>
        <v>98.86784461234335</v>
      </c>
      <c r="M32" s="33"/>
    </row>
    <row r="33" spans="2:13" ht="22.5">
      <c r="B33" s="19" t="s">
        <v>8</v>
      </c>
      <c r="C33" s="31">
        <f>1601934850.29</f>
        <v>1601934850.29</v>
      </c>
      <c r="D33" s="31">
        <f>1593372669.86</f>
        <v>1593372669.86</v>
      </c>
      <c r="E33" s="47" t="s">
        <v>60</v>
      </c>
      <c r="F33" s="31" t="s">
        <v>60</v>
      </c>
      <c r="G33" s="31" t="s">
        <v>60</v>
      </c>
      <c r="H33" s="31" t="s">
        <v>60</v>
      </c>
      <c r="I33" s="31" t="s">
        <v>60</v>
      </c>
      <c r="J33" s="31" t="s">
        <v>60</v>
      </c>
      <c r="K33" s="28">
        <f t="shared" si="0"/>
        <v>1.8623705900823357</v>
      </c>
      <c r="L33" s="28">
        <f t="shared" si="1"/>
        <v>99.46551007187028</v>
      </c>
      <c r="M33" s="33"/>
    </row>
    <row r="34" spans="2:13" ht="12.75">
      <c r="B34" s="20" t="s">
        <v>5</v>
      </c>
      <c r="C34" s="31">
        <f>48035225.98</f>
        <v>48035225.98</v>
      </c>
      <c r="D34" s="49">
        <f>44962742.35</f>
        <v>44962742.35</v>
      </c>
      <c r="E34" s="47" t="s">
        <v>60</v>
      </c>
      <c r="F34" s="31" t="s">
        <v>60</v>
      </c>
      <c r="G34" s="31" t="s">
        <v>60</v>
      </c>
      <c r="H34" s="31" t="s">
        <v>60</v>
      </c>
      <c r="I34" s="31" t="s">
        <v>60</v>
      </c>
      <c r="J34" s="31" t="s">
        <v>60</v>
      </c>
      <c r="K34" s="28">
        <f t="shared" si="0"/>
        <v>0.05255348644171675</v>
      </c>
      <c r="L34" s="28">
        <f t="shared" si="1"/>
        <v>93.60368652938313</v>
      </c>
      <c r="M34" s="33"/>
    </row>
    <row r="35" spans="2:13" ht="13.5" customHeight="1">
      <c r="B35" s="19" t="s">
        <v>6</v>
      </c>
      <c r="C35" s="31">
        <f>231324526.74</f>
        <v>231324526.74</v>
      </c>
      <c r="D35" s="31">
        <f>221895639.91</f>
        <v>221895639.91</v>
      </c>
      <c r="E35" s="47" t="s">
        <v>60</v>
      </c>
      <c r="F35" s="31" t="s">
        <v>60</v>
      </c>
      <c r="G35" s="31" t="s">
        <v>60</v>
      </c>
      <c r="H35" s="31" t="s">
        <v>60</v>
      </c>
      <c r="I35" s="31" t="s">
        <v>60</v>
      </c>
      <c r="J35" s="31" t="s">
        <v>60</v>
      </c>
      <c r="K35" s="28">
        <f t="shared" si="0"/>
        <v>0.25935672278864563</v>
      </c>
      <c r="L35" s="28">
        <f t="shared" si="1"/>
        <v>95.923957151073</v>
      </c>
      <c r="M35" s="33"/>
    </row>
    <row r="36" spans="2:13" ht="12.75">
      <c r="B36" s="20" t="s">
        <v>5</v>
      </c>
      <c r="C36" s="31">
        <f>42121498.74</f>
        <v>42121498.74</v>
      </c>
      <c r="D36" s="49">
        <f>33357164.43</f>
        <v>33357164.43</v>
      </c>
      <c r="E36" s="47" t="s">
        <v>60</v>
      </c>
      <c r="F36" s="31" t="s">
        <v>60</v>
      </c>
      <c r="G36" s="31" t="s">
        <v>60</v>
      </c>
      <c r="H36" s="31" t="s">
        <v>60</v>
      </c>
      <c r="I36" s="31" t="s">
        <v>60</v>
      </c>
      <c r="J36" s="31" t="s">
        <v>60</v>
      </c>
      <c r="K36" s="28">
        <f t="shared" si="0"/>
        <v>0.038988620288329036</v>
      </c>
      <c r="L36" s="28">
        <f t="shared" si="1"/>
        <v>79.19272919489663</v>
      </c>
      <c r="M36" s="33"/>
    </row>
    <row r="37" spans="2:13" ht="33.75">
      <c r="B37" s="19" t="s">
        <v>9</v>
      </c>
      <c r="C37" s="31">
        <f>27895658.73</f>
        <v>27895658.73</v>
      </c>
      <c r="D37" s="31">
        <f>24815558.98</f>
        <v>24815558.98</v>
      </c>
      <c r="E37" s="47" t="s">
        <v>60</v>
      </c>
      <c r="F37" s="31" t="s">
        <v>60</v>
      </c>
      <c r="G37" s="31" t="s">
        <v>60</v>
      </c>
      <c r="H37" s="31" t="s">
        <v>60</v>
      </c>
      <c r="I37" s="31" t="s">
        <v>60</v>
      </c>
      <c r="J37" s="31" t="s">
        <v>60</v>
      </c>
      <c r="K37" s="28">
        <f t="shared" si="0"/>
        <v>0.02900499556382268</v>
      </c>
      <c r="L37" s="28">
        <f t="shared" si="1"/>
        <v>88.95849788021836</v>
      </c>
      <c r="M37" s="33"/>
    </row>
    <row r="38" spans="2:13" ht="12.75">
      <c r="B38" s="20" t="s">
        <v>5</v>
      </c>
      <c r="C38" s="31">
        <f>59600</f>
        <v>59600</v>
      </c>
      <c r="D38" s="49">
        <f>59600</f>
        <v>59600</v>
      </c>
      <c r="E38" s="47" t="s">
        <v>60</v>
      </c>
      <c r="F38" s="31" t="s">
        <v>60</v>
      </c>
      <c r="G38" s="31" t="s">
        <v>60</v>
      </c>
      <c r="H38" s="31" t="s">
        <v>60</v>
      </c>
      <c r="I38" s="31" t="s">
        <v>60</v>
      </c>
      <c r="J38" s="31" t="s">
        <v>60</v>
      </c>
      <c r="K38" s="28">
        <f t="shared" si="0"/>
        <v>6.96618495274303E-05</v>
      </c>
      <c r="L38" s="28">
        <f t="shared" si="1"/>
        <v>100</v>
      </c>
      <c r="M38" s="33"/>
    </row>
    <row r="39" spans="2:13" ht="13.5" customHeight="1">
      <c r="B39" s="23" t="s">
        <v>57</v>
      </c>
      <c r="C39" s="25">
        <f>C40+C42+C44</f>
        <v>612115585.2</v>
      </c>
      <c r="D39" s="25">
        <f>D40+D42+D44</f>
        <v>587465146.4200001</v>
      </c>
      <c r="E39" s="47" t="s">
        <v>60</v>
      </c>
      <c r="F39" s="29" t="s">
        <v>60</v>
      </c>
      <c r="G39" s="29" t="s">
        <v>60</v>
      </c>
      <c r="H39" s="29" t="s">
        <v>60</v>
      </c>
      <c r="I39" s="29" t="s">
        <v>60</v>
      </c>
      <c r="J39" s="29" t="s">
        <v>60</v>
      </c>
      <c r="K39" s="26">
        <f t="shared" si="0"/>
        <v>0.6866427622906016</v>
      </c>
      <c r="L39" s="26">
        <f t="shared" si="1"/>
        <v>95.97291110110424</v>
      </c>
      <c r="M39" s="33"/>
    </row>
    <row r="40" spans="2:13" ht="33.75">
      <c r="B40" s="19" t="s">
        <v>10</v>
      </c>
      <c r="C40" s="27">
        <f>387310046.48</f>
        <v>387310046.48</v>
      </c>
      <c r="D40" s="32">
        <f>379645983.85</f>
        <v>379645983.85</v>
      </c>
      <c r="E40" s="47" t="s">
        <v>60</v>
      </c>
      <c r="F40" s="27" t="s">
        <v>60</v>
      </c>
      <c r="G40" s="27" t="s">
        <v>60</v>
      </c>
      <c r="H40" s="27" t="s">
        <v>60</v>
      </c>
      <c r="I40" s="27" t="s">
        <v>60</v>
      </c>
      <c r="J40" s="27" t="s">
        <v>60</v>
      </c>
      <c r="K40" s="28">
        <f t="shared" si="0"/>
        <v>0.44373894967536803</v>
      </c>
      <c r="L40" s="28">
        <f t="shared" si="1"/>
        <v>98.02120737645369</v>
      </c>
      <c r="M40" s="33"/>
    </row>
    <row r="41" spans="2:13" ht="12.75">
      <c r="B41" s="20" t="s">
        <v>5</v>
      </c>
      <c r="C41" s="31">
        <f>10711924.38</f>
        <v>10711924.38</v>
      </c>
      <c r="D41" s="31">
        <f>9509665.49</f>
        <v>9509665.49</v>
      </c>
      <c r="E41" s="47" t="s">
        <v>60</v>
      </c>
      <c r="F41" s="31" t="s">
        <v>60</v>
      </c>
      <c r="G41" s="31" t="s">
        <v>60</v>
      </c>
      <c r="H41" s="31" t="s">
        <v>60</v>
      </c>
      <c r="I41" s="31" t="s">
        <v>60</v>
      </c>
      <c r="J41" s="31" t="s">
        <v>60</v>
      </c>
      <c r="K41" s="28">
        <f t="shared" si="0"/>
        <v>0.01111511554396941</v>
      </c>
      <c r="L41" s="28">
        <f t="shared" si="1"/>
        <v>88.77644345357112</v>
      </c>
      <c r="M41" s="33"/>
    </row>
    <row r="42" spans="2:13" ht="24" customHeight="1">
      <c r="B42" s="19" t="s">
        <v>7</v>
      </c>
      <c r="C42" s="31">
        <f>112182906.82</f>
        <v>112182906.82</v>
      </c>
      <c r="D42" s="49">
        <f>102236565.97</f>
        <v>102236565.97</v>
      </c>
      <c r="E42" s="47" t="s">
        <v>60</v>
      </c>
      <c r="F42" s="31" t="s">
        <v>60</v>
      </c>
      <c r="G42" s="31" t="s">
        <v>60</v>
      </c>
      <c r="H42" s="31" t="s">
        <v>60</v>
      </c>
      <c r="I42" s="31" t="s">
        <v>60</v>
      </c>
      <c r="J42" s="31" t="s">
        <v>60</v>
      </c>
      <c r="K42" s="28">
        <f t="shared" si="0"/>
        <v>0.11949644756381446</v>
      </c>
      <c r="L42" s="28">
        <f t="shared" si="1"/>
        <v>91.13381785875889</v>
      </c>
      <c r="M42" s="33"/>
    </row>
    <row r="43" spans="2:13" ht="12.75">
      <c r="B43" s="20" t="s">
        <v>5</v>
      </c>
      <c r="C43" s="31">
        <f>99573725.47</f>
        <v>99573725.47</v>
      </c>
      <c r="D43" s="31">
        <f>90226369.21</f>
        <v>90226369.21</v>
      </c>
      <c r="E43" s="47" t="s">
        <v>60</v>
      </c>
      <c r="F43" s="31" t="s">
        <v>60</v>
      </c>
      <c r="G43" s="31" t="s">
        <v>60</v>
      </c>
      <c r="H43" s="31" t="s">
        <v>60</v>
      </c>
      <c r="I43" s="31" t="s">
        <v>60</v>
      </c>
      <c r="J43" s="31" t="s">
        <v>60</v>
      </c>
      <c r="K43" s="28">
        <f t="shared" si="0"/>
        <v>0.10545865361264078</v>
      </c>
      <c r="L43" s="28">
        <f t="shared" si="1"/>
        <v>90.61262776311789</v>
      </c>
      <c r="M43" s="33"/>
    </row>
    <row r="44" spans="2:13" ht="45">
      <c r="B44" s="19" t="s">
        <v>80</v>
      </c>
      <c r="C44" s="31">
        <f>112622631.9</f>
        <v>112622631.9</v>
      </c>
      <c r="D44" s="31">
        <f>105582596.6</f>
        <v>105582596.6</v>
      </c>
      <c r="E44" s="47" t="s">
        <v>60</v>
      </c>
      <c r="F44" s="31" t="s">
        <v>60</v>
      </c>
      <c r="G44" s="31" t="s">
        <v>60</v>
      </c>
      <c r="H44" s="31" t="s">
        <v>60</v>
      </c>
      <c r="I44" s="31" t="s">
        <v>60</v>
      </c>
      <c r="J44" s="31" t="s">
        <v>60</v>
      </c>
      <c r="K44" s="28">
        <f t="shared" si="0"/>
        <v>0.12340736505141904</v>
      </c>
      <c r="L44" s="28">
        <f t="shared" si="1"/>
        <v>93.74900481259309</v>
      </c>
      <c r="M44" s="33"/>
    </row>
    <row r="45" spans="2:13" ht="12.75">
      <c r="B45" s="20" t="s">
        <v>5</v>
      </c>
      <c r="C45" s="31">
        <f>102747365.75</f>
        <v>102747365.75</v>
      </c>
      <c r="D45" s="31">
        <f>95794783.07</f>
        <v>95794783.07</v>
      </c>
      <c r="E45" s="47" t="s">
        <v>60</v>
      </c>
      <c r="F45" s="31" t="s">
        <v>60</v>
      </c>
      <c r="G45" s="31" t="s">
        <v>60</v>
      </c>
      <c r="H45" s="31" t="s">
        <v>60</v>
      </c>
      <c r="I45" s="31" t="s">
        <v>60</v>
      </c>
      <c r="J45" s="31" t="s">
        <v>60</v>
      </c>
      <c r="K45" s="28">
        <f t="shared" si="0"/>
        <v>0.11196714368683168</v>
      </c>
      <c r="L45" s="28">
        <f t="shared" si="1"/>
        <v>93.23332269469887</v>
      </c>
      <c r="M45" s="33"/>
    </row>
    <row r="46" spans="2:13" ht="13.5" customHeight="1">
      <c r="B46" s="46" t="s">
        <v>82</v>
      </c>
      <c r="C46" s="47">
        <f>237074541.94</f>
        <v>237074541.94</v>
      </c>
      <c r="D46" s="47">
        <f>126292646.98</f>
        <v>126292646.98</v>
      </c>
      <c r="E46" s="47" t="s">
        <v>60</v>
      </c>
      <c r="F46" s="51" t="s">
        <v>60</v>
      </c>
      <c r="G46" s="51" t="s">
        <v>60</v>
      </c>
      <c r="H46" s="51" t="s">
        <v>60</v>
      </c>
      <c r="I46" s="51" t="s">
        <v>60</v>
      </c>
      <c r="J46" s="51" t="s">
        <v>60</v>
      </c>
      <c r="K46" s="48">
        <f t="shared" si="0"/>
        <v>0.14761374782452408</v>
      </c>
      <c r="L46" s="48">
        <f t="shared" si="1"/>
        <v>53.271281659573035</v>
      </c>
      <c r="M46" s="33"/>
    </row>
    <row r="47" spans="2:13" ht="13.5" customHeight="1">
      <c r="B47" s="20" t="s">
        <v>83</v>
      </c>
      <c r="C47" s="31">
        <f>181852972.14</f>
        <v>181852972.14</v>
      </c>
      <c r="D47" s="31">
        <f>82862424.69</f>
        <v>82862424.69</v>
      </c>
      <c r="E47" s="47" t="s">
        <v>60</v>
      </c>
      <c r="F47" s="31" t="s">
        <v>60</v>
      </c>
      <c r="G47" s="31" t="s">
        <v>60</v>
      </c>
      <c r="H47" s="31" t="s">
        <v>60</v>
      </c>
      <c r="I47" s="31" t="s">
        <v>60</v>
      </c>
      <c r="J47" s="31" t="s">
        <v>60</v>
      </c>
      <c r="K47" s="28">
        <f t="shared" si="0"/>
        <v>0.0968515060441746</v>
      </c>
      <c r="L47" s="28">
        <f t="shared" si="1"/>
        <v>45.56561474629524</v>
      </c>
      <c r="M47" s="33"/>
    </row>
    <row r="48" spans="2:13" ht="13.5" customHeight="1">
      <c r="B48" s="46" t="s">
        <v>84</v>
      </c>
      <c r="C48" s="29">
        <f>5171920103.82</f>
        <v>5171920103.82</v>
      </c>
      <c r="D48" s="29">
        <f>4079297299.28</f>
        <v>4079297299.28</v>
      </c>
      <c r="E48" s="47" t="s">
        <v>60</v>
      </c>
      <c r="F48" s="29" t="s">
        <v>60</v>
      </c>
      <c r="G48" s="29" t="s">
        <v>60</v>
      </c>
      <c r="H48" s="29" t="s">
        <v>60</v>
      </c>
      <c r="I48" s="29" t="s">
        <v>60</v>
      </c>
      <c r="J48" s="29" t="s">
        <v>60</v>
      </c>
      <c r="K48" s="30">
        <f t="shared" si="0"/>
        <v>4.7679764201358426</v>
      </c>
      <c r="L48" s="30">
        <f t="shared" si="1"/>
        <v>78.87394270199603</v>
      </c>
      <c r="M48" s="33"/>
    </row>
    <row r="49" spans="2:13" ht="13.5" customHeight="1">
      <c r="B49" s="54" t="s">
        <v>85</v>
      </c>
      <c r="C49" s="50">
        <f>4453154160.16</f>
        <v>4453154160.16</v>
      </c>
      <c r="D49" s="50">
        <f>3499971436.06</f>
        <v>3499971436.06</v>
      </c>
      <c r="E49" s="47" t="s">
        <v>60</v>
      </c>
      <c r="F49" s="50" t="s">
        <v>60</v>
      </c>
      <c r="G49" s="50" t="s">
        <v>60</v>
      </c>
      <c r="H49" s="50" t="s">
        <v>60</v>
      </c>
      <c r="I49" s="50" t="s">
        <v>60</v>
      </c>
      <c r="J49" s="50" t="s">
        <v>60</v>
      </c>
      <c r="K49" s="55">
        <f t="shared" si="0"/>
        <v>4.090847039079126</v>
      </c>
      <c r="L49" s="55">
        <f t="shared" si="1"/>
        <v>78.59533513059982</v>
      </c>
      <c r="M49" s="33"/>
    </row>
    <row r="50" spans="2:13" s="5" customFormat="1" ht="25.5" customHeight="1">
      <c r="B50" s="46" t="s">
        <v>67</v>
      </c>
      <c r="C50" s="47">
        <f>C51+C52+C53+C57</f>
        <v>15381709610</v>
      </c>
      <c r="D50" s="47">
        <f>D51+D52+D53+D57</f>
        <v>15382020304</v>
      </c>
      <c r="E50" s="47" t="s">
        <v>60</v>
      </c>
      <c r="F50" s="51" t="s">
        <v>60</v>
      </c>
      <c r="G50" s="51" t="s">
        <v>60</v>
      </c>
      <c r="H50" s="51" t="s">
        <v>60</v>
      </c>
      <c r="I50" s="51" t="s">
        <v>60</v>
      </c>
      <c r="J50" s="51" t="s">
        <v>60</v>
      </c>
      <c r="K50" s="48">
        <f t="shared" si="0"/>
        <v>17.978858789347747</v>
      </c>
      <c r="L50" s="48">
        <f t="shared" si="1"/>
        <v>100.0020198925079</v>
      </c>
      <c r="M50" s="34"/>
    </row>
    <row r="51" spans="2:13" ht="13.5" customHeight="1">
      <c r="B51" s="19" t="s">
        <v>38</v>
      </c>
      <c r="C51" s="31">
        <f>14224837161</f>
        <v>14224837161</v>
      </c>
      <c r="D51" s="31">
        <f>14225133991</f>
        <v>14225133991</v>
      </c>
      <c r="E51" s="47" t="s">
        <v>60</v>
      </c>
      <c r="F51" s="31" t="s">
        <v>60</v>
      </c>
      <c r="G51" s="31" t="s">
        <v>60</v>
      </c>
      <c r="H51" s="31" t="s">
        <v>60</v>
      </c>
      <c r="I51" s="31" t="s">
        <v>60</v>
      </c>
      <c r="J51" s="31" t="s">
        <v>60</v>
      </c>
      <c r="K51" s="28">
        <f t="shared" si="0"/>
        <v>16.6266634830298</v>
      </c>
      <c r="L51" s="28">
        <f t="shared" si="1"/>
        <v>100.0020867022704</v>
      </c>
      <c r="M51" s="33"/>
    </row>
    <row r="52" spans="2:13" s="5" customFormat="1" ht="22.5">
      <c r="B52" s="19" t="s">
        <v>34</v>
      </c>
      <c r="C52" s="27">
        <f>172658763</f>
        <v>172658763</v>
      </c>
      <c r="D52" s="32">
        <f>172672529</f>
        <v>172672529</v>
      </c>
      <c r="E52" s="47" t="s">
        <v>60</v>
      </c>
      <c r="F52" s="27" t="s">
        <v>60</v>
      </c>
      <c r="G52" s="27" t="s">
        <v>60</v>
      </c>
      <c r="H52" s="27" t="s">
        <v>60</v>
      </c>
      <c r="I52" s="27" t="s">
        <v>60</v>
      </c>
      <c r="J52" s="27" t="s">
        <v>60</v>
      </c>
      <c r="K52" s="28">
        <f t="shared" si="0"/>
        <v>0.2018236196764907</v>
      </c>
      <c r="L52" s="28">
        <f t="shared" si="1"/>
        <v>100.00797295182753</v>
      </c>
      <c r="M52" s="34"/>
    </row>
    <row r="53" spans="2:13" s="5" customFormat="1" ht="25.5" customHeight="1">
      <c r="B53" s="22" t="s">
        <v>58</v>
      </c>
      <c r="C53" s="25">
        <f>C54+C55+C56</f>
        <v>266380030</v>
      </c>
      <c r="D53" s="25">
        <f>D54+D55+D56</f>
        <v>266380030</v>
      </c>
      <c r="E53" s="47" t="s">
        <v>60</v>
      </c>
      <c r="F53" s="29" t="s">
        <v>60</v>
      </c>
      <c r="G53" s="29" t="s">
        <v>60</v>
      </c>
      <c r="H53" s="29" t="s">
        <v>60</v>
      </c>
      <c r="I53" s="29" t="s">
        <v>60</v>
      </c>
      <c r="J53" s="29" t="s">
        <v>60</v>
      </c>
      <c r="K53" s="26">
        <f t="shared" si="0"/>
        <v>0.3113511001169861</v>
      </c>
      <c r="L53" s="26">
        <f t="shared" si="1"/>
        <v>100</v>
      </c>
      <c r="M53" s="34"/>
    </row>
    <row r="54" spans="2:13" ht="13.5" customHeight="1">
      <c r="B54" s="19" t="s">
        <v>39</v>
      </c>
      <c r="C54" s="27">
        <f>141970132</f>
        <v>141970132</v>
      </c>
      <c r="D54" s="32">
        <f>141970132</f>
        <v>141970132</v>
      </c>
      <c r="E54" s="47" t="s">
        <v>60</v>
      </c>
      <c r="F54" s="27" t="s">
        <v>60</v>
      </c>
      <c r="G54" s="27" t="s">
        <v>60</v>
      </c>
      <c r="H54" s="27" t="s">
        <v>60</v>
      </c>
      <c r="I54" s="27" t="s">
        <v>60</v>
      </c>
      <c r="J54" s="27" t="s">
        <v>60</v>
      </c>
      <c r="K54" s="28">
        <f t="shared" si="0"/>
        <v>0.1659379525633124</v>
      </c>
      <c r="L54" s="28">
        <f t="shared" si="1"/>
        <v>100</v>
      </c>
      <c r="M54" s="33"/>
    </row>
    <row r="55" spans="2:13" ht="13.5" customHeight="1">
      <c r="B55" s="19" t="s">
        <v>37</v>
      </c>
      <c r="C55" s="31">
        <f>212483</f>
        <v>212483</v>
      </c>
      <c r="D55" s="31">
        <f>212483</f>
        <v>212483</v>
      </c>
      <c r="E55" s="47" t="s">
        <v>60</v>
      </c>
      <c r="F55" s="31" t="s">
        <v>60</v>
      </c>
      <c r="G55" s="31" t="s">
        <v>60</v>
      </c>
      <c r="H55" s="31" t="s">
        <v>60</v>
      </c>
      <c r="I55" s="31" t="s">
        <v>60</v>
      </c>
      <c r="J55" s="31" t="s">
        <v>60</v>
      </c>
      <c r="K55" s="28">
        <f t="shared" si="0"/>
        <v>0.0002483550129720969</v>
      </c>
      <c r="L55" s="28">
        <f t="shared" si="1"/>
        <v>100</v>
      </c>
      <c r="M55" s="33"/>
    </row>
    <row r="56" spans="2:13" ht="13.5" customHeight="1">
      <c r="B56" s="19" t="s">
        <v>36</v>
      </c>
      <c r="C56" s="27">
        <f>124197415</f>
        <v>124197415</v>
      </c>
      <c r="D56" s="32">
        <f>124197415</f>
        <v>124197415</v>
      </c>
      <c r="E56" s="47" t="s">
        <v>60</v>
      </c>
      <c r="F56" s="27" t="s">
        <v>60</v>
      </c>
      <c r="G56" s="27" t="s">
        <v>60</v>
      </c>
      <c r="H56" s="27" t="s">
        <v>60</v>
      </c>
      <c r="I56" s="27" t="s">
        <v>60</v>
      </c>
      <c r="J56" s="27" t="s">
        <v>60</v>
      </c>
      <c r="K56" s="28">
        <f t="shared" si="0"/>
        <v>0.1451647925407016</v>
      </c>
      <c r="L56" s="28">
        <f t="shared" si="1"/>
        <v>100</v>
      </c>
      <c r="M56" s="33"/>
    </row>
    <row r="57" spans="2:13" s="5" customFormat="1" ht="25.5" customHeight="1">
      <c r="B57" s="22" t="s">
        <v>59</v>
      </c>
      <c r="C57" s="25">
        <f>C58+C59</f>
        <v>717833656</v>
      </c>
      <c r="D57" s="25">
        <f>D58+D59</f>
        <v>717833754</v>
      </c>
      <c r="E57" s="47" t="s">
        <v>60</v>
      </c>
      <c r="F57" s="29" t="s">
        <v>60</v>
      </c>
      <c r="G57" s="29" t="s">
        <v>60</v>
      </c>
      <c r="H57" s="29" t="s">
        <v>60</v>
      </c>
      <c r="I57" s="29" t="s">
        <v>60</v>
      </c>
      <c r="J57" s="29" t="s">
        <v>60</v>
      </c>
      <c r="K57" s="26">
        <f t="shared" si="0"/>
        <v>0.8390205865244702</v>
      </c>
      <c r="L57" s="26">
        <f t="shared" si="1"/>
        <v>100.00001365218796</v>
      </c>
      <c r="M57" s="34"/>
    </row>
    <row r="58" spans="2:13" ht="13.5" customHeight="1">
      <c r="B58" s="19" t="s">
        <v>36</v>
      </c>
      <c r="C58" s="27">
        <f>642619700</f>
        <v>642619700</v>
      </c>
      <c r="D58" s="32">
        <f>642619798</f>
        <v>642619798</v>
      </c>
      <c r="E58" s="47" t="s">
        <v>60</v>
      </c>
      <c r="F58" s="27" t="s">
        <v>60</v>
      </c>
      <c r="G58" s="27" t="s">
        <v>60</v>
      </c>
      <c r="H58" s="27" t="s">
        <v>60</v>
      </c>
      <c r="I58" s="27" t="s">
        <v>60</v>
      </c>
      <c r="J58" s="27" t="s">
        <v>60</v>
      </c>
      <c r="K58" s="28">
        <f t="shared" si="0"/>
        <v>0.7511087864366386</v>
      </c>
      <c r="L58" s="28">
        <f t="shared" si="1"/>
        <v>100.00001525007714</v>
      </c>
      <c r="M58" s="33"/>
    </row>
    <row r="59" spans="2:13" ht="13.5" customHeight="1">
      <c r="B59" s="19" t="s">
        <v>39</v>
      </c>
      <c r="C59" s="31">
        <f>75213956</f>
        <v>75213956</v>
      </c>
      <c r="D59" s="31">
        <f>75213956</f>
        <v>75213956</v>
      </c>
      <c r="E59" s="47" t="s">
        <v>60</v>
      </c>
      <c r="F59" s="31" t="s">
        <v>60</v>
      </c>
      <c r="G59" s="31" t="s">
        <v>60</v>
      </c>
      <c r="H59" s="31" t="s">
        <v>60</v>
      </c>
      <c r="I59" s="31" t="s">
        <v>60</v>
      </c>
      <c r="J59" s="31" t="s">
        <v>60</v>
      </c>
      <c r="K59" s="28">
        <f t="shared" si="0"/>
        <v>0.0879118000878316</v>
      </c>
      <c r="L59" s="28">
        <f t="shared" si="1"/>
        <v>100</v>
      </c>
      <c r="M59" s="33"/>
    </row>
    <row r="60" spans="2:13" ht="11.25" customHeight="1">
      <c r="B60" s="56"/>
      <c r="C60" s="57"/>
      <c r="D60" s="57"/>
      <c r="E60" s="57"/>
      <c r="F60" s="57"/>
      <c r="G60" s="57"/>
      <c r="H60" s="57"/>
      <c r="I60" s="57"/>
      <c r="J60" s="57"/>
      <c r="K60" s="52"/>
      <c r="L60" s="52"/>
      <c r="M60" s="33"/>
    </row>
    <row r="61" spans="2:13" ht="13.5" customHeight="1">
      <c r="B61" s="58" t="s">
        <v>4</v>
      </c>
      <c r="C61" s="51">
        <f>+C5</f>
        <v>85792187079.21</v>
      </c>
      <c r="D61" s="51">
        <f>+D5</f>
        <v>85556155060.93</v>
      </c>
      <c r="E61" s="47" t="s">
        <v>60</v>
      </c>
      <c r="F61" s="47" t="s">
        <v>60</v>
      </c>
      <c r="G61" s="47" t="s">
        <v>60</v>
      </c>
      <c r="H61" s="47" t="s">
        <v>60</v>
      </c>
      <c r="I61" s="47" t="s">
        <v>60</v>
      </c>
      <c r="J61" s="47" t="s">
        <v>60</v>
      </c>
      <c r="K61" s="48">
        <f t="shared" si="0"/>
        <v>100</v>
      </c>
      <c r="L61" s="48">
        <f t="shared" si="1"/>
        <v>99.72487935520039</v>
      </c>
      <c r="M61" s="33"/>
    </row>
    <row r="62" spans="2:13" ht="12.75">
      <c r="B62" s="21" t="s">
        <v>73</v>
      </c>
      <c r="C62" s="31">
        <f>7477141125.88</f>
        <v>7477141125.88</v>
      </c>
      <c r="D62" s="31">
        <f>6035675233.64</f>
        <v>6035675233.64</v>
      </c>
      <c r="E62" s="47" t="s">
        <v>60</v>
      </c>
      <c r="F62" s="47" t="s">
        <v>60</v>
      </c>
      <c r="G62" s="47" t="s">
        <v>60</v>
      </c>
      <c r="H62" s="47" t="s">
        <v>60</v>
      </c>
      <c r="I62" s="47" t="s">
        <v>60</v>
      </c>
      <c r="J62" s="47" t="s">
        <v>60</v>
      </c>
      <c r="K62" s="28">
        <f t="shared" si="0"/>
        <v>7.054635904736031</v>
      </c>
      <c r="L62" s="28">
        <f t="shared" si="1"/>
        <v>80.72169739780924</v>
      </c>
      <c r="M62" s="33"/>
    </row>
    <row r="63" spans="1:13" s="5" customFormat="1" ht="12.75">
      <c r="A63" s="2"/>
      <c r="B63" s="21" t="s">
        <v>74</v>
      </c>
      <c r="C63" s="31">
        <f>C61-C62</f>
        <v>78315045953.33</v>
      </c>
      <c r="D63" s="31">
        <f>D61-D62</f>
        <v>79520479827.29</v>
      </c>
      <c r="E63" s="47" t="s">
        <v>60</v>
      </c>
      <c r="F63" s="47" t="s">
        <v>60</v>
      </c>
      <c r="G63" s="47" t="s">
        <v>60</v>
      </c>
      <c r="H63" s="47" t="s">
        <v>60</v>
      </c>
      <c r="I63" s="47" t="s">
        <v>60</v>
      </c>
      <c r="J63" s="47" t="s">
        <v>60</v>
      </c>
      <c r="K63" s="28">
        <f t="shared" si="0"/>
        <v>92.94536409526397</v>
      </c>
      <c r="L63" s="28">
        <f t="shared" si="1"/>
        <v>101.53921109192522</v>
      </c>
      <c r="M63" s="35"/>
    </row>
    <row r="64" spans="2:13" ht="18">
      <c r="B64" s="73" t="s">
        <v>87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 s="5" customFormat="1" ht="6" customHeight="1">
      <c r="B65" s="6"/>
      <c r="C65" s="7"/>
      <c r="D65" s="8"/>
      <c r="E65" s="8"/>
      <c r="F65" s="4"/>
      <c r="G65" s="4"/>
      <c r="H65" s="4"/>
      <c r="I65" s="4"/>
      <c r="J65" s="4"/>
      <c r="K65" s="9"/>
      <c r="L65" s="9"/>
      <c r="M65" s="3"/>
    </row>
    <row r="66" spans="2:27" ht="29.25" customHeight="1">
      <c r="B66" s="81" t="s">
        <v>0</v>
      </c>
      <c r="C66" s="74" t="s">
        <v>48</v>
      </c>
      <c r="D66" s="74" t="s">
        <v>49</v>
      </c>
      <c r="E66" s="74" t="s">
        <v>50</v>
      </c>
      <c r="F66" s="74" t="s">
        <v>11</v>
      </c>
      <c r="G66" s="74"/>
      <c r="H66" s="74"/>
      <c r="I66" s="74" t="s">
        <v>81</v>
      </c>
      <c r="J66" s="74"/>
      <c r="K66" s="74" t="s">
        <v>1</v>
      </c>
      <c r="L66" s="79" t="s">
        <v>25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 customHeight="1">
      <c r="B67" s="81"/>
      <c r="C67" s="74"/>
      <c r="D67" s="75"/>
      <c r="E67" s="74"/>
      <c r="F67" s="76" t="s">
        <v>51</v>
      </c>
      <c r="G67" s="77" t="s">
        <v>24</v>
      </c>
      <c r="H67" s="75"/>
      <c r="I67" s="74"/>
      <c r="J67" s="74"/>
      <c r="K67" s="74"/>
      <c r="L67" s="79"/>
      <c r="M67" s="11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36" customHeight="1">
      <c r="B68" s="81"/>
      <c r="C68" s="74"/>
      <c r="D68" s="75"/>
      <c r="E68" s="74"/>
      <c r="F68" s="75"/>
      <c r="G68" s="16" t="s">
        <v>46</v>
      </c>
      <c r="H68" s="16" t="s">
        <v>47</v>
      </c>
      <c r="I68" s="74"/>
      <c r="J68" s="74"/>
      <c r="K68" s="74"/>
      <c r="L68" s="79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3.5" customHeight="1">
      <c r="B69" s="81"/>
      <c r="C69" s="78" t="s">
        <v>79</v>
      </c>
      <c r="D69" s="78"/>
      <c r="E69" s="78"/>
      <c r="F69" s="78"/>
      <c r="G69" s="78"/>
      <c r="H69" s="78"/>
      <c r="I69" s="78"/>
      <c r="J69" s="78"/>
      <c r="K69" s="78" t="s">
        <v>3</v>
      </c>
      <c r="L69" s="7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1.25" customHeight="1">
      <c r="B70" s="15">
        <v>1</v>
      </c>
      <c r="C70" s="17">
        <v>2</v>
      </c>
      <c r="D70" s="17">
        <v>3</v>
      </c>
      <c r="E70" s="17">
        <v>4</v>
      </c>
      <c r="F70" s="15">
        <v>5</v>
      </c>
      <c r="G70" s="15">
        <v>6</v>
      </c>
      <c r="H70" s="17">
        <v>7</v>
      </c>
      <c r="I70" s="75">
        <v>8</v>
      </c>
      <c r="J70" s="75"/>
      <c r="K70" s="15">
        <v>9</v>
      </c>
      <c r="L70" s="17">
        <v>10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12" ht="25.5" customHeight="1">
      <c r="B71" s="46" t="s">
        <v>68</v>
      </c>
      <c r="C71" s="62">
        <f>92779172201.29</f>
        <v>92779172201.29</v>
      </c>
      <c r="D71" s="62" t="s">
        <v>60</v>
      </c>
      <c r="E71" s="62">
        <f>87002343379.06</f>
        <v>87002343379.06</v>
      </c>
      <c r="F71" s="62" t="s">
        <v>60</v>
      </c>
      <c r="G71" s="71" t="s">
        <v>60</v>
      </c>
      <c r="H71" s="71" t="s">
        <v>60</v>
      </c>
      <c r="I71" s="72" t="s">
        <v>60</v>
      </c>
      <c r="J71" s="72"/>
      <c r="K71" s="45">
        <f aca="true" t="shared" si="3" ref="K71:K82">IF($E$71=0,"",100*$E71/$E$71)</f>
        <v>100</v>
      </c>
      <c r="L71" s="45">
        <f aca="true" t="shared" si="4" ref="L71:L82">IF(C71=0,"",100*E71/C71)</f>
        <v>93.77357149760205</v>
      </c>
    </row>
    <row r="72" spans="2:12" ht="12.75">
      <c r="B72" s="46" t="s">
        <v>13</v>
      </c>
      <c r="C72" s="63">
        <f>17991132665.99</f>
        <v>17991132665.99</v>
      </c>
      <c r="D72" s="71" t="s">
        <v>60</v>
      </c>
      <c r="E72" s="63">
        <f>14687172658.98</f>
        <v>14687172658.98</v>
      </c>
      <c r="F72" s="71" t="s">
        <v>60</v>
      </c>
      <c r="G72" s="71" t="s">
        <v>60</v>
      </c>
      <c r="H72" s="71" t="s">
        <v>60</v>
      </c>
      <c r="I72" s="72" t="s">
        <v>60</v>
      </c>
      <c r="J72" s="72"/>
      <c r="K72" s="45">
        <f t="shared" si="3"/>
        <v>16.881352948149388</v>
      </c>
      <c r="L72" s="45">
        <f t="shared" si="4"/>
        <v>81.63561978921022</v>
      </c>
    </row>
    <row r="73" spans="2:12" ht="22.5">
      <c r="B73" s="19" t="s">
        <v>12</v>
      </c>
      <c r="C73" s="31">
        <f>16894841494.38</f>
        <v>16894841494.38</v>
      </c>
      <c r="D73" s="71" t="s">
        <v>60</v>
      </c>
      <c r="E73" s="31">
        <f>13641086225.07</f>
        <v>13641086225.07</v>
      </c>
      <c r="F73" s="71" t="s">
        <v>60</v>
      </c>
      <c r="G73" s="71" t="s">
        <v>60</v>
      </c>
      <c r="H73" s="71" t="s">
        <v>60</v>
      </c>
      <c r="I73" s="72" t="s">
        <v>60</v>
      </c>
      <c r="J73" s="72"/>
      <c r="K73" s="60">
        <f t="shared" si="3"/>
        <v>15.678987134446748</v>
      </c>
      <c r="L73" s="60">
        <f t="shared" si="4"/>
        <v>80.74113172122776</v>
      </c>
    </row>
    <row r="74" spans="2:12" ht="25.5" customHeight="1">
      <c r="B74" s="46" t="s">
        <v>69</v>
      </c>
      <c r="C74" s="63">
        <f>C71-C72</f>
        <v>74788039535.29999</v>
      </c>
      <c r="D74" s="71" t="s">
        <v>60</v>
      </c>
      <c r="E74" s="63">
        <f>E71-E72</f>
        <v>72315170720.08</v>
      </c>
      <c r="F74" s="71" t="s">
        <v>60</v>
      </c>
      <c r="G74" s="71" t="s">
        <v>60</v>
      </c>
      <c r="H74" s="71" t="s">
        <v>60</v>
      </c>
      <c r="I74" s="72" t="s">
        <v>60</v>
      </c>
      <c r="J74" s="72"/>
      <c r="K74" s="45">
        <f t="shared" si="3"/>
        <v>83.11864705185062</v>
      </c>
      <c r="L74" s="45">
        <f t="shared" si="4"/>
        <v>96.69349694070695</v>
      </c>
    </row>
    <row r="75" spans="2:12" ht="12.75">
      <c r="B75" s="19" t="s">
        <v>45</v>
      </c>
      <c r="C75" s="31">
        <f>23674685366.55</f>
        <v>23674685366.55</v>
      </c>
      <c r="D75" s="71" t="s">
        <v>60</v>
      </c>
      <c r="E75" s="31">
        <f>23402147076.56</f>
        <v>23402147076.56</v>
      </c>
      <c r="F75" s="71" t="s">
        <v>60</v>
      </c>
      <c r="G75" s="71" t="s">
        <v>60</v>
      </c>
      <c r="H75" s="71" t="s">
        <v>60</v>
      </c>
      <c r="I75" s="72" t="s">
        <v>60</v>
      </c>
      <c r="J75" s="72"/>
      <c r="K75" s="60">
        <f t="shared" si="3"/>
        <v>26.89829511212051</v>
      </c>
      <c r="L75" s="60">
        <f t="shared" si="4"/>
        <v>98.84881980152915</v>
      </c>
    </row>
    <row r="76" spans="2:12" ht="22.5" customHeight="1">
      <c r="B76" s="20" t="s">
        <v>40</v>
      </c>
      <c r="C76" s="61">
        <f>21687856009.79</f>
        <v>21687856009.79</v>
      </c>
      <c r="D76" s="71" t="s">
        <v>60</v>
      </c>
      <c r="E76" s="61">
        <f>21468863547.96</f>
        <v>21468863547.96</v>
      </c>
      <c r="F76" s="71" t="s">
        <v>60</v>
      </c>
      <c r="G76" s="71" t="s">
        <v>60</v>
      </c>
      <c r="H76" s="71" t="s">
        <v>60</v>
      </c>
      <c r="I76" s="72" t="s">
        <v>60</v>
      </c>
      <c r="J76" s="72"/>
      <c r="K76" s="60">
        <f t="shared" si="3"/>
        <v>24.67618998998962</v>
      </c>
      <c r="L76" s="60">
        <f t="shared" si="4"/>
        <v>98.99025306267643</v>
      </c>
    </row>
    <row r="77" spans="2:12" ht="12.75">
      <c r="B77" s="19" t="s">
        <v>44</v>
      </c>
      <c r="C77" s="31">
        <f>4269475332.97</f>
        <v>4269475332.97</v>
      </c>
      <c r="D77" s="71" t="s">
        <v>60</v>
      </c>
      <c r="E77" s="31">
        <f>4166296688.21</f>
        <v>4166296688.21</v>
      </c>
      <c r="F77" s="71" t="s">
        <v>60</v>
      </c>
      <c r="G77" s="71" t="s">
        <v>60</v>
      </c>
      <c r="H77" s="71" t="s">
        <v>60</v>
      </c>
      <c r="I77" s="72" t="s">
        <v>60</v>
      </c>
      <c r="J77" s="72"/>
      <c r="K77" s="60">
        <f t="shared" si="3"/>
        <v>4.788717782069256</v>
      </c>
      <c r="L77" s="60">
        <f t="shared" si="4"/>
        <v>97.58334135430582</v>
      </c>
    </row>
    <row r="78" spans="2:12" ht="13.5" customHeight="1">
      <c r="B78" s="19" t="s">
        <v>43</v>
      </c>
      <c r="C78" s="61">
        <f>7980291235.48</f>
        <v>7980291235.48</v>
      </c>
      <c r="D78" s="71" t="s">
        <v>60</v>
      </c>
      <c r="E78" s="61">
        <f>7867349414.3</f>
        <v>7867349414.3</v>
      </c>
      <c r="F78" s="71" t="s">
        <v>60</v>
      </c>
      <c r="G78" s="71" t="s">
        <v>60</v>
      </c>
      <c r="H78" s="71" t="s">
        <v>60</v>
      </c>
      <c r="I78" s="72" t="s">
        <v>60</v>
      </c>
      <c r="J78" s="72"/>
      <c r="K78" s="60">
        <f t="shared" si="3"/>
        <v>9.04268679295544</v>
      </c>
      <c r="L78" s="60">
        <f t="shared" si="4"/>
        <v>98.58474060848975</v>
      </c>
    </row>
    <row r="79" spans="2:12" ht="12.75">
      <c r="B79" s="19" t="s">
        <v>42</v>
      </c>
      <c r="C79" s="31">
        <f>923404358.84</f>
        <v>923404358.84</v>
      </c>
      <c r="D79" s="71" t="s">
        <v>60</v>
      </c>
      <c r="E79" s="31">
        <f>852005900.4</f>
        <v>852005900.4</v>
      </c>
      <c r="F79" s="71" t="s">
        <v>60</v>
      </c>
      <c r="G79" s="71" t="s">
        <v>60</v>
      </c>
      <c r="H79" s="71" t="s">
        <v>60</v>
      </c>
      <c r="I79" s="72" t="s">
        <v>60</v>
      </c>
      <c r="J79" s="72"/>
      <c r="K79" s="60">
        <f t="shared" si="3"/>
        <v>0.9792907493168322</v>
      </c>
      <c r="L79" s="60">
        <f t="shared" si="4"/>
        <v>92.2679097454454</v>
      </c>
    </row>
    <row r="80" spans="2:12" ht="22.5" customHeight="1">
      <c r="B80" s="19" t="s">
        <v>70</v>
      </c>
      <c r="C80" s="61">
        <f>62201823.07</f>
        <v>62201823.07</v>
      </c>
      <c r="D80" s="71" t="s">
        <v>60</v>
      </c>
      <c r="E80" s="61">
        <f>5083940.81</f>
        <v>5083940.81</v>
      </c>
      <c r="F80" s="71" t="s">
        <v>60</v>
      </c>
      <c r="G80" s="71" t="s">
        <v>60</v>
      </c>
      <c r="H80" s="71" t="s">
        <v>60</v>
      </c>
      <c r="I80" s="72" t="s">
        <v>60</v>
      </c>
      <c r="J80" s="72"/>
      <c r="K80" s="60">
        <f t="shared" si="3"/>
        <v>0.0058434527307498</v>
      </c>
      <c r="L80" s="60">
        <f t="shared" si="4"/>
        <v>8.173298721934067</v>
      </c>
    </row>
    <row r="81" spans="2:12" ht="22.5" customHeight="1">
      <c r="B81" s="19" t="s">
        <v>72</v>
      </c>
      <c r="C81" s="61">
        <f>11131394086.3</f>
        <v>11131394086.3</v>
      </c>
      <c r="D81" s="71" t="s">
        <v>60</v>
      </c>
      <c r="E81" s="61">
        <f>10942101398.73</f>
        <v>10942101398.73</v>
      </c>
      <c r="F81" s="71" t="s">
        <v>60</v>
      </c>
      <c r="G81" s="71" t="s">
        <v>60</v>
      </c>
      <c r="H81" s="71" t="s">
        <v>60</v>
      </c>
      <c r="I81" s="72" t="s">
        <v>60</v>
      </c>
      <c r="J81" s="72"/>
      <c r="K81" s="60">
        <f t="shared" si="3"/>
        <v>12.576789283774142</v>
      </c>
      <c r="L81" s="60">
        <f t="shared" si="4"/>
        <v>98.29947007443594</v>
      </c>
    </row>
    <row r="82" spans="2:12" ht="12.75">
      <c r="B82" s="19" t="s">
        <v>41</v>
      </c>
      <c r="C82" s="31">
        <f>C74-C75-C77-C78-C79-C80-C81</f>
        <v>26746587332.089993</v>
      </c>
      <c r="D82" s="71" t="s">
        <v>60</v>
      </c>
      <c r="E82" s="31">
        <f>E74-E75-E77-E78-E79-E80-E81</f>
        <v>25080186301.070004</v>
      </c>
      <c r="F82" s="71" t="s">
        <v>60</v>
      </c>
      <c r="G82" s="71" t="s">
        <v>60</v>
      </c>
      <c r="H82" s="71" t="s">
        <v>60</v>
      </c>
      <c r="I82" s="72" t="s">
        <v>60</v>
      </c>
      <c r="J82" s="72"/>
      <c r="K82" s="60">
        <f t="shared" si="3"/>
        <v>28.827023878883686</v>
      </c>
      <c r="L82" s="60">
        <f t="shared" si="4"/>
        <v>93.7696685923715</v>
      </c>
    </row>
    <row r="83" spans="2:13" ht="12.75">
      <c r="B83" s="22" t="s">
        <v>14</v>
      </c>
      <c r="C83" s="36">
        <f>C5-C71</f>
        <v>-6986985122.079987</v>
      </c>
      <c r="D83" s="71" t="s">
        <v>60</v>
      </c>
      <c r="E83" s="36">
        <f>D5-E71</f>
        <v>-1446188318.130005</v>
      </c>
      <c r="F83" s="71" t="s">
        <v>60</v>
      </c>
      <c r="G83" s="71" t="s">
        <v>60</v>
      </c>
      <c r="H83" s="71" t="s">
        <v>60</v>
      </c>
      <c r="I83" s="72" t="s">
        <v>60</v>
      </c>
      <c r="J83" s="72"/>
      <c r="K83" s="37"/>
      <c r="L83" s="37"/>
      <c r="M83" s="13"/>
    </row>
    <row r="84" spans="2:13" ht="22.5">
      <c r="B84" s="22" t="s">
        <v>78</v>
      </c>
      <c r="C84" s="36">
        <f>+C63-C74</f>
        <v>3527006418.030014</v>
      </c>
      <c r="D84" s="71" t="s">
        <v>60</v>
      </c>
      <c r="E84" s="36">
        <f>+D63-E74</f>
        <v>7205309107.209991</v>
      </c>
      <c r="F84" s="71" t="s">
        <v>60</v>
      </c>
      <c r="G84" s="71" t="s">
        <v>60</v>
      </c>
      <c r="H84" s="71" t="s">
        <v>60</v>
      </c>
      <c r="I84" s="72" t="s">
        <v>60</v>
      </c>
      <c r="J84" s="72"/>
      <c r="K84" s="37"/>
      <c r="L84" s="37"/>
      <c r="M84" s="13"/>
    </row>
    <row r="85" spans="2:13" ht="8.25" customHeight="1">
      <c r="B85" s="24"/>
      <c r="C85" s="38"/>
      <c r="D85" s="38"/>
      <c r="E85" s="38"/>
      <c r="F85" s="39"/>
      <c r="G85" s="39"/>
      <c r="H85" s="39"/>
      <c r="I85" s="39"/>
      <c r="J85" s="40"/>
      <c r="K85" s="40"/>
      <c r="L85" s="41"/>
      <c r="M85" s="10"/>
    </row>
    <row r="86" spans="2:13" ht="12.75">
      <c r="B86" s="67" t="s">
        <v>75</v>
      </c>
      <c r="C86" s="65"/>
      <c r="D86" s="42"/>
      <c r="E86" s="42"/>
      <c r="F86" s="43"/>
      <c r="G86" s="43"/>
      <c r="H86" s="43"/>
      <c r="I86" s="75"/>
      <c r="J86" s="75"/>
      <c r="K86" s="44"/>
      <c r="L86" s="44"/>
      <c r="M86" s="10"/>
    </row>
    <row r="87" spans="2:13" ht="26.25" customHeight="1">
      <c r="B87" s="46" t="s">
        <v>86</v>
      </c>
      <c r="C87" s="66">
        <f>8213858429.05</f>
        <v>8213858429.05</v>
      </c>
      <c r="D87" s="71" t="s">
        <v>60</v>
      </c>
      <c r="E87" s="64">
        <f>6579601853.6</f>
        <v>6579601853.6</v>
      </c>
      <c r="F87" s="71" t="s">
        <v>60</v>
      </c>
      <c r="G87" s="71" t="s">
        <v>60</v>
      </c>
      <c r="H87" s="71" t="s">
        <v>60</v>
      </c>
      <c r="I87" s="72" t="s">
        <v>60</v>
      </c>
      <c r="J87" s="72"/>
      <c r="K87" s="45">
        <f>IF($E$71=0,"",100*$E87/$E$87)</f>
        <v>100</v>
      </c>
      <c r="L87" s="45">
        <f>IF(C87=0,"",100*E87/C87)</f>
        <v>80.10366760559063</v>
      </c>
      <c r="M87" s="10"/>
    </row>
    <row r="88" spans="2:13" ht="15" customHeight="1">
      <c r="B88" s="68" t="s">
        <v>76</v>
      </c>
      <c r="C88" s="69">
        <f>7248263868.6</f>
        <v>7248263868.6</v>
      </c>
      <c r="D88" s="71" t="s">
        <v>60</v>
      </c>
      <c r="E88" s="61">
        <f>5901744037.46</f>
        <v>5901744037.46</v>
      </c>
      <c r="F88" s="71" t="s">
        <v>60</v>
      </c>
      <c r="G88" s="71" t="s">
        <v>60</v>
      </c>
      <c r="H88" s="71" t="s">
        <v>60</v>
      </c>
      <c r="I88" s="72" t="s">
        <v>60</v>
      </c>
      <c r="J88" s="72"/>
      <c r="K88" s="60">
        <f>IF($E$71=0,"",100*$E88/$E$87)</f>
        <v>89.69758609680746</v>
      </c>
      <c r="L88" s="59">
        <f>IF(C88=0,"",100*E88/C88)</f>
        <v>81.42286407406854</v>
      </c>
      <c r="M88" s="10"/>
    </row>
    <row r="89" spans="2:12" ht="12.75">
      <c r="B89" s="70" t="s">
        <v>77</v>
      </c>
      <c r="C89" s="69">
        <f>C87-C88</f>
        <v>965594560.4499998</v>
      </c>
      <c r="D89" s="71" t="s">
        <v>60</v>
      </c>
      <c r="E89" s="61">
        <f>E87-E88</f>
        <v>677857816.1400003</v>
      </c>
      <c r="F89" s="71" t="s">
        <v>60</v>
      </c>
      <c r="G89" s="71" t="s">
        <v>60</v>
      </c>
      <c r="H89" s="71" t="s">
        <v>60</v>
      </c>
      <c r="I89" s="72" t="s">
        <v>60</v>
      </c>
      <c r="J89" s="72"/>
      <c r="K89" s="60">
        <f>IF($E$71=0,"",100*$E89/$E$87)</f>
        <v>10.302413903192537</v>
      </c>
      <c r="L89" s="59">
        <f>IF(C89=0,"",100*E89/C89)</f>
        <v>70.20108065067139</v>
      </c>
    </row>
    <row r="90" ht="6" customHeight="1"/>
    <row r="92" ht="12.75"/>
  </sheetData>
  <sheetProtection/>
  <mergeCells count="36">
    <mergeCell ref="I87:J87"/>
    <mergeCell ref="I88:J88"/>
    <mergeCell ref="I89:J89"/>
    <mergeCell ref="I86:J86"/>
    <mergeCell ref="I84:J84"/>
    <mergeCell ref="L66:L68"/>
    <mergeCell ref="B2:B3"/>
    <mergeCell ref="C66:C68"/>
    <mergeCell ref="B66:B69"/>
    <mergeCell ref="K66:K68"/>
    <mergeCell ref="K69:L69"/>
    <mergeCell ref="K3:M3"/>
    <mergeCell ref="C3:J3"/>
    <mergeCell ref="B64:M64"/>
    <mergeCell ref="C69:J69"/>
    <mergeCell ref="I70:J70"/>
    <mergeCell ref="I73:J73"/>
    <mergeCell ref="I74:J74"/>
    <mergeCell ref="I76:J76"/>
    <mergeCell ref="I83:J83"/>
    <mergeCell ref="I81:J81"/>
    <mergeCell ref="B1:M1"/>
    <mergeCell ref="I66:J68"/>
    <mergeCell ref="D66:D68"/>
    <mergeCell ref="E66:E68"/>
    <mergeCell ref="F67:F68"/>
    <mergeCell ref="F66:H66"/>
    <mergeCell ref="G67:H67"/>
    <mergeCell ref="I80:J80"/>
    <mergeCell ref="I82:J82"/>
    <mergeCell ref="I71:J71"/>
    <mergeCell ref="I72:J72"/>
    <mergeCell ref="I75:J75"/>
    <mergeCell ref="I77:J77"/>
    <mergeCell ref="I78:J78"/>
    <mergeCell ref="I79:J79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3" manualBreakCount="3">
    <brk id="22" max="255" man="1"/>
    <brk id="49" max="12" man="1"/>
    <brk id="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2019-03-21T13:26:59Z</dcterms:modified>
  <cp:category/>
  <cp:version/>
  <cp:contentType/>
  <cp:contentStatus/>
</cp:coreProperties>
</file>