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BPRM_WOM\Rządowy Fundusz Rozwoju Dróg\2026\Listy - po zmianach MI podział rezerwy\Wersja do podpisu\"/>
    </mc:Choice>
  </mc:AlternateContent>
  <bookViews>
    <workbookView xWindow="0" yWindow="0" windowWidth="28800" windowHeight="11805"/>
  </bookViews>
  <sheets>
    <sheet name="TERC - &quot;nazwa woj&quot;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_FilterDatabase" localSheetId="2" hidden="1">'gm podst'!$D$1:$D$65</definedName>
    <definedName name="_xlnm._FilterDatabase" localSheetId="4" hidden="1">'gm rez'!$A$1:$AD$72</definedName>
    <definedName name="_xlnm._FilterDatabase" localSheetId="3" hidden="1">'pow rez'!$A$1:$AC$18</definedName>
    <definedName name="_xlnm.Print_Area" localSheetId="2">'gm podst'!$A$1:$Z$66</definedName>
    <definedName name="_xlnm.Print_Area" localSheetId="4">'gm rez'!$A$1:$Z$77</definedName>
    <definedName name="_xlnm.Print_Area" localSheetId="1">'pow podst'!$A$1:$Y$33</definedName>
    <definedName name="_xlnm.Print_Area" localSheetId="3">'pow rez'!$A$1:$Y$23</definedName>
    <definedName name="_xlnm.Print_Area" localSheetId="0">'TERC - "nazwa woj"'!$A$1:$Q$36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52" i="5" l="1"/>
  <c r="AB52" i="5"/>
  <c r="AC52" i="5"/>
  <c r="AD52" i="5"/>
  <c r="AA53" i="5"/>
  <c r="AB53" i="5"/>
  <c r="AC53" i="5"/>
  <c r="AD53" i="5"/>
  <c r="AA54" i="5"/>
  <c r="AB54" i="5"/>
  <c r="AC54" i="5"/>
  <c r="AD54" i="5"/>
  <c r="AA55" i="5"/>
  <c r="AB55" i="5"/>
  <c r="AC55" i="5"/>
  <c r="AD55" i="5"/>
  <c r="AA56" i="5"/>
  <c r="AB56" i="5"/>
  <c r="AC56" i="5"/>
  <c r="AD56" i="5"/>
  <c r="Z22" i="3" l="1"/>
  <c r="AA22" i="3"/>
  <c r="AB22" i="3"/>
  <c r="AC22" i="3"/>
  <c r="Z23" i="3"/>
  <c r="AA23" i="3"/>
  <c r="AB23" i="3"/>
  <c r="AC23" i="3"/>
  <c r="L57" i="5"/>
  <c r="K24" i="3" l="1"/>
  <c r="L69" i="6" l="1"/>
  <c r="V33" i="6"/>
  <c r="M33" i="6"/>
  <c r="V13" i="6"/>
  <c r="M13" i="6"/>
  <c r="AA65" i="6" l="1"/>
  <c r="AB65" i="6"/>
  <c r="AC65" i="6" s="1"/>
  <c r="AD65" i="6"/>
  <c r="AB66" i="6"/>
  <c r="AC66" i="6" s="1"/>
  <c r="AD66" i="6"/>
  <c r="AA67" i="6"/>
  <c r="AB67" i="6"/>
  <c r="AC67" i="6" s="1"/>
  <c r="AD67" i="6"/>
  <c r="AA68" i="6"/>
  <c r="AB68" i="6"/>
  <c r="AC68" i="6" s="1"/>
  <c r="AD68" i="6"/>
  <c r="AB69" i="6"/>
  <c r="AC69" i="6" s="1"/>
  <c r="AB50" i="5" l="1"/>
  <c r="AC50" i="5" s="1"/>
  <c r="AA51" i="5"/>
  <c r="AB51" i="5"/>
  <c r="AC51" i="5" s="1"/>
  <c r="AD51" i="5"/>
  <c r="V69" i="6"/>
  <c r="AA69" i="6" s="1"/>
  <c r="M69" i="6"/>
  <c r="AD69" i="6" s="1"/>
  <c r="V66" i="6"/>
  <c r="AA66" i="6" s="1"/>
  <c r="V57" i="5" l="1"/>
  <c r="M57" i="5"/>
  <c r="V50" i="5"/>
  <c r="AA50" i="5" s="1"/>
  <c r="M50" i="5"/>
  <c r="AD50" i="5" s="1"/>
  <c r="M11" i="6"/>
  <c r="K15" i="4" l="1"/>
  <c r="U15" i="4"/>
  <c r="L15" i="4" l="1"/>
  <c r="L24" i="3"/>
  <c r="K25" i="3"/>
  <c r="U24" i="3" l="1"/>
  <c r="AA13" i="6"/>
  <c r="AB13" i="6"/>
  <c r="AC13" i="6" s="1"/>
  <c r="AD13" i="6"/>
  <c r="AA14" i="6"/>
  <c r="AB14" i="6"/>
  <c r="AC14" i="6" s="1"/>
  <c r="AD14" i="6"/>
  <c r="AA15" i="6"/>
  <c r="AB15" i="6"/>
  <c r="AC15" i="6" s="1"/>
  <c r="AD15" i="6"/>
  <c r="AA16" i="6"/>
  <c r="AB16" i="6"/>
  <c r="AC16" i="6" s="1"/>
  <c r="AD16" i="6"/>
  <c r="AA17" i="6"/>
  <c r="AB17" i="6"/>
  <c r="AC17" i="6" s="1"/>
  <c r="AD17" i="6"/>
  <c r="AA18" i="6"/>
  <c r="AB18" i="6"/>
  <c r="AC18" i="6" s="1"/>
  <c r="AD18" i="6"/>
  <c r="AA19" i="6"/>
  <c r="AB19" i="6"/>
  <c r="AC19" i="6" s="1"/>
  <c r="AD19" i="6"/>
  <c r="AA20" i="6"/>
  <c r="AB20" i="6"/>
  <c r="AC20" i="6" s="1"/>
  <c r="AD20" i="6"/>
  <c r="AA21" i="6"/>
  <c r="AB21" i="6"/>
  <c r="AC21" i="6" s="1"/>
  <c r="AD21" i="6"/>
  <c r="AA22" i="6"/>
  <c r="AB22" i="6"/>
  <c r="AC22" i="6" s="1"/>
  <c r="AD22" i="6"/>
  <c r="AA23" i="6"/>
  <c r="AB23" i="6"/>
  <c r="AC23" i="6" s="1"/>
  <c r="AD23" i="6"/>
  <c r="AA24" i="6"/>
  <c r="AB24" i="6"/>
  <c r="AC24" i="6" s="1"/>
  <c r="AD24" i="6"/>
  <c r="AA25" i="6"/>
  <c r="AB25" i="6"/>
  <c r="AC25" i="6" s="1"/>
  <c r="AD25" i="6"/>
  <c r="AA26" i="6"/>
  <c r="AB26" i="6"/>
  <c r="AC26" i="6" s="1"/>
  <c r="AD26" i="6"/>
  <c r="AA27" i="6"/>
  <c r="AB27" i="6"/>
  <c r="AC27" i="6" s="1"/>
  <c r="AD27" i="6"/>
  <c r="AA28" i="6"/>
  <c r="AB28" i="6"/>
  <c r="AC28" i="6" s="1"/>
  <c r="AD28" i="6"/>
  <c r="AA29" i="6"/>
  <c r="AB29" i="6"/>
  <c r="AC29" i="6" s="1"/>
  <c r="AD29" i="6"/>
  <c r="AA30" i="6"/>
  <c r="AB30" i="6"/>
  <c r="AC30" i="6" s="1"/>
  <c r="AD30" i="6"/>
  <c r="AA31" i="6"/>
  <c r="AB31" i="6"/>
  <c r="AC31" i="6" s="1"/>
  <c r="AD31" i="6"/>
  <c r="AA32" i="6"/>
  <c r="AB32" i="6"/>
  <c r="AC32" i="6" s="1"/>
  <c r="AD32" i="6"/>
  <c r="AA33" i="6"/>
  <c r="AB33" i="6"/>
  <c r="AC33" i="6" s="1"/>
  <c r="AD33" i="6"/>
  <c r="AA34" i="6"/>
  <c r="AB34" i="6"/>
  <c r="AC34" i="6" s="1"/>
  <c r="AD34" i="6"/>
  <c r="AA35" i="6"/>
  <c r="AB35" i="6"/>
  <c r="AC35" i="6" s="1"/>
  <c r="AD35" i="6"/>
  <c r="AA36" i="6"/>
  <c r="AB36" i="6"/>
  <c r="AC36" i="6" s="1"/>
  <c r="AD36" i="6"/>
  <c r="AA37" i="6"/>
  <c r="AB37" i="6"/>
  <c r="AC37" i="6" s="1"/>
  <c r="AD37" i="6"/>
  <c r="AA38" i="6"/>
  <c r="AB38" i="6"/>
  <c r="AC38" i="6" s="1"/>
  <c r="AD38" i="6"/>
  <c r="AA39" i="6"/>
  <c r="AB39" i="6"/>
  <c r="AC39" i="6" s="1"/>
  <c r="AD39" i="6"/>
  <c r="AA40" i="6"/>
  <c r="AB40" i="6"/>
  <c r="AC40" i="6" s="1"/>
  <c r="AD40" i="6"/>
  <c r="AA41" i="6"/>
  <c r="AB41" i="6"/>
  <c r="AC41" i="6" s="1"/>
  <c r="AD41" i="6"/>
  <c r="AA42" i="6"/>
  <c r="AB42" i="6"/>
  <c r="AC42" i="6" s="1"/>
  <c r="AD42" i="6"/>
  <c r="AA43" i="6"/>
  <c r="AB43" i="6"/>
  <c r="AC43" i="6" s="1"/>
  <c r="AD43" i="6"/>
  <c r="AA44" i="6"/>
  <c r="AB44" i="6"/>
  <c r="AC44" i="6" s="1"/>
  <c r="AD44" i="6"/>
  <c r="AA45" i="6"/>
  <c r="AB45" i="6"/>
  <c r="AC45" i="6" s="1"/>
  <c r="AD45" i="6"/>
  <c r="AA46" i="6"/>
  <c r="AB46" i="6"/>
  <c r="AC46" i="6" s="1"/>
  <c r="AD46" i="6"/>
  <c r="AA47" i="6"/>
  <c r="AB47" i="6"/>
  <c r="AC47" i="6" s="1"/>
  <c r="AD47" i="6"/>
  <c r="AA48" i="6"/>
  <c r="AB48" i="6"/>
  <c r="AC48" i="6" s="1"/>
  <c r="AD48" i="6"/>
  <c r="AA49" i="6"/>
  <c r="AB49" i="6"/>
  <c r="AC49" i="6" s="1"/>
  <c r="AD49" i="6"/>
  <c r="AA50" i="6"/>
  <c r="AB50" i="6"/>
  <c r="AC50" i="6" s="1"/>
  <c r="AD50" i="6"/>
  <c r="AA51" i="6"/>
  <c r="AB51" i="6"/>
  <c r="AC51" i="6" s="1"/>
  <c r="AD51" i="6"/>
  <c r="AA52" i="6"/>
  <c r="AB52" i="6"/>
  <c r="AC52" i="6" s="1"/>
  <c r="AD52" i="6"/>
  <c r="AA53" i="6"/>
  <c r="AB53" i="6"/>
  <c r="AC53" i="6" s="1"/>
  <c r="AD53" i="6"/>
  <c r="AA54" i="6"/>
  <c r="AB54" i="6"/>
  <c r="AC54" i="6" s="1"/>
  <c r="AD54" i="6"/>
  <c r="AA55" i="6"/>
  <c r="AB55" i="6"/>
  <c r="AC55" i="6" s="1"/>
  <c r="AD55" i="6"/>
  <c r="AA56" i="6"/>
  <c r="AB56" i="6"/>
  <c r="AC56" i="6" s="1"/>
  <c r="AD56" i="6"/>
  <c r="AA57" i="6"/>
  <c r="AB57" i="6"/>
  <c r="AC57" i="6" s="1"/>
  <c r="AD57" i="6"/>
  <c r="AA58" i="6"/>
  <c r="AB58" i="6"/>
  <c r="AC58" i="6" s="1"/>
  <c r="AD58" i="6"/>
  <c r="AA59" i="6"/>
  <c r="AB59" i="6"/>
  <c r="AC59" i="6" s="1"/>
  <c r="AD59" i="6"/>
  <c r="AA60" i="6"/>
  <c r="AB60" i="6"/>
  <c r="AC60" i="6" s="1"/>
  <c r="AD60" i="6"/>
  <c r="AA61" i="6"/>
  <c r="AB61" i="6"/>
  <c r="AC61" i="6" s="1"/>
  <c r="AD61" i="6"/>
  <c r="AA62" i="6"/>
  <c r="AB62" i="6"/>
  <c r="AC62" i="6" s="1"/>
  <c r="AD62" i="6"/>
  <c r="AA63" i="6"/>
  <c r="AB63" i="6"/>
  <c r="AC63" i="6" s="1"/>
  <c r="AD63" i="6"/>
  <c r="AA64" i="6"/>
  <c r="AB64" i="6"/>
  <c r="AC64" i="6" s="1"/>
  <c r="AD64" i="6"/>
  <c r="Z4" i="4"/>
  <c r="AA4" i="4"/>
  <c r="AB4" i="4" s="1"/>
  <c r="AC4" i="4"/>
  <c r="Z5" i="4"/>
  <c r="AA5" i="4"/>
  <c r="AB5" i="4" s="1"/>
  <c r="AC5" i="4"/>
  <c r="Z6" i="4"/>
  <c r="AA6" i="4"/>
  <c r="AB6" i="4" s="1"/>
  <c r="AC6" i="4"/>
  <c r="Z7" i="4"/>
  <c r="AA7" i="4"/>
  <c r="AB7" i="4" s="1"/>
  <c r="AC7" i="4"/>
  <c r="Z8" i="4"/>
  <c r="AA8" i="4"/>
  <c r="AB8" i="4" s="1"/>
  <c r="AC8" i="4"/>
  <c r="Z9" i="4"/>
  <c r="AA9" i="4"/>
  <c r="AB9" i="4" s="1"/>
  <c r="AC9" i="4"/>
  <c r="Z10" i="4"/>
  <c r="AA10" i="4"/>
  <c r="AB10" i="4" s="1"/>
  <c r="AC10" i="4"/>
  <c r="Z11" i="4"/>
  <c r="AA11" i="4"/>
  <c r="AB11" i="4" s="1"/>
  <c r="AC11" i="4"/>
  <c r="Z12" i="4"/>
  <c r="AA12" i="4"/>
  <c r="AB12" i="4" s="1"/>
  <c r="AC12" i="4"/>
  <c r="Z13" i="4"/>
  <c r="AA13" i="4"/>
  <c r="AB13" i="4" s="1"/>
  <c r="AC13" i="4"/>
  <c r="Z14" i="4"/>
  <c r="AA14" i="4"/>
  <c r="AB14" i="4" s="1"/>
  <c r="AC14" i="4"/>
  <c r="Z15" i="4"/>
  <c r="AA15" i="4"/>
  <c r="AB15" i="4" s="1"/>
  <c r="AC15" i="4"/>
  <c r="AA18" i="5" l="1"/>
  <c r="AB18" i="5"/>
  <c r="AC18" i="5" s="1"/>
  <c r="AD18" i="5"/>
  <c r="AA19" i="5"/>
  <c r="AB19" i="5"/>
  <c r="AC19" i="5" s="1"/>
  <c r="AD19" i="5"/>
  <c r="AA20" i="5"/>
  <c r="AB20" i="5"/>
  <c r="AC20" i="5" s="1"/>
  <c r="AD20" i="5"/>
  <c r="AA21" i="5"/>
  <c r="AB21" i="5"/>
  <c r="AC21" i="5" s="1"/>
  <c r="AD21" i="5"/>
  <c r="AA22" i="5"/>
  <c r="AB22" i="5"/>
  <c r="AC22" i="5" s="1"/>
  <c r="AD22" i="5"/>
  <c r="AA23" i="5"/>
  <c r="AB23" i="5"/>
  <c r="AC23" i="5" s="1"/>
  <c r="AD23" i="5"/>
  <c r="AA24" i="5"/>
  <c r="AB24" i="5"/>
  <c r="AC24" i="5" s="1"/>
  <c r="AD24" i="5"/>
  <c r="AA25" i="5"/>
  <c r="AB25" i="5"/>
  <c r="AC25" i="5" s="1"/>
  <c r="AD25" i="5"/>
  <c r="AA26" i="5"/>
  <c r="AB26" i="5"/>
  <c r="AC26" i="5" s="1"/>
  <c r="AD26" i="5"/>
  <c r="AA27" i="5"/>
  <c r="AB27" i="5"/>
  <c r="AC27" i="5" s="1"/>
  <c r="AD27" i="5"/>
  <c r="AA28" i="5"/>
  <c r="AB28" i="5"/>
  <c r="AC28" i="5" s="1"/>
  <c r="AD28" i="5"/>
  <c r="AA29" i="5"/>
  <c r="AB29" i="5"/>
  <c r="AC29" i="5" s="1"/>
  <c r="AD29" i="5"/>
  <c r="AA30" i="5"/>
  <c r="AB30" i="5"/>
  <c r="AC30" i="5" s="1"/>
  <c r="AD30" i="5"/>
  <c r="AA31" i="5"/>
  <c r="AB31" i="5"/>
  <c r="AC31" i="5" s="1"/>
  <c r="AD31" i="5"/>
  <c r="AA32" i="5"/>
  <c r="AB32" i="5"/>
  <c r="AC32" i="5" s="1"/>
  <c r="AD32" i="5"/>
  <c r="AA33" i="5"/>
  <c r="AB33" i="5"/>
  <c r="AC33" i="5" s="1"/>
  <c r="AD33" i="5"/>
  <c r="AA34" i="5"/>
  <c r="AB34" i="5"/>
  <c r="AC34" i="5" s="1"/>
  <c r="AD34" i="5"/>
  <c r="AA35" i="5"/>
  <c r="AB35" i="5"/>
  <c r="AC35" i="5" s="1"/>
  <c r="AD35" i="5"/>
  <c r="AA36" i="5"/>
  <c r="AB36" i="5"/>
  <c r="AC36" i="5" s="1"/>
  <c r="AD36" i="5"/>
  <c r="AA37" i="5"/>
  <c r="AB37" i="5"/>
  <c r="AC37" i="5" s="1"/>
  <c r="AD37" i="5"/>
  <c r="AA38" i="5"/>
  <c r="AB38" i="5"/>
  <c r="AC38" i="5" s="1"/>
  <c r="AD38" i="5"/>
  <c r="AA39" i="5"/>
  <c r="AB39" i="5"/>
  <c r="AC39" i="5" s="1"/>
  <c r="AD39" i="5"/>
  <c r="AA40" i="5"/>
  <c r="AB40" i="5"/>
  <c r="AC40" i="5" s="1"/>
  <c r="AD40" i="5"/>
  <c r="AA41" i="5"/>
  <c r="AB41" i="5"/>
  <c r="AC41" i="5" s="1"/>
  <c r="AD41" i="5"/>
  <c r="AA42" i="5"/>
  <c r="AB42" i="5"/>
  <c r="AC42" i="5" s="1"/>
  <c r="AD42" i="5"/>
  <c r="AA43" i="5"/>
  <c r="AB43" i="5"/>
  <c r="AC43" i="5" s="1"/>
  <c r="AD43" i="5"/>
  <c r="AA44" i="5"/>
  <c r="AB44" i="5"/>
  <c r="AC44" i="5" s="1"/>
  <c r="AD44" i="5"/>
  <c r="AA45" i="5"/>
  <c r="AB45" i="5"/>
  <c r="AC45" i="5" s="1"/>
  <c r="AD45" i="5"/>
  <c r="AA46" i="5"/>
  <c r="AB46" i="5"/>
  <c r="AC46" i="5" s="1"/>
  <c r="AD46" i="5"/>
  <c r="AA47" i="5"/>
  <c r="AB47" i="5"/>
  <c r="AC47" i="5" s="1"/>
  <c r="AD47" i="5"/>
  <c r="AA48" i="5"/>
  <c r="AB48" i="5"/>
  <c r="AC48" i="5" s="1"/>
  <c r="AD48" i="5"/>
  <c r="Z12" i="3"/>
  <c r="AA12" i="3"/>
  <c r="AB12" i="3" s="1"/>
  <c r="AC12" i="3"/>
  <c r="Z13" i="3"/>
  <c r="AA13" i="3"/>
  <c r="AB13" i="3" s="1"/>
  <c r="AC13" i="3"/>
  <c r="Z14" i="3"/>
  <c r="AA14" i="3"/>
  <c r="AB14" i="3" s="1"/>
  <c r="AC14" i="3"/>
  <c r="Z15" i="3"/>
  <c r="AA15" i="3"/>
  <c r="AB15" i="3" s="1"/>
  <c r="AC15" i="3"/>
  <c r="Z16" i="3"/>
  <c r="AA16" i="3"/>
  <c r="AB16" i="3" s="1"/>
  <c r="AC16" i="3"/>
  <c r="Z17" i="3"/>
  <c r="AA17" i="3"/>
  <c r="AB17" i="3" s="1"/>
  <c r="AC17" i="3"/>
  <c r="Z18" i="3"/>
  <c r="AA18" i="3"/>
  <c r="AB18" i="3" s="1"/>
  <c r="AC18" i="3"/>
  <c r="Z19" i="3"/>
  <c r="AA19" i="3"/>
  <c r="AB19" i="3" s="1"/>
  <c r="AC19" i="3"/>
  <c r="L9" i="3" l="1"/>
  <c r="AC9" i="3" s="1"/>
  <c r="Z9" i="3"/>
  <c r="AA9" i="3"/>
  <c r="AB9" i="3" s="1"/>
  <c r="Z10" i="3"/>
  <c r="AA10" i="3"/>
  <c r="AB10" i="3" s="1"/>
  <c r="AC10" i="3"/>
  <c r="Z11" i="3"/>
  <c r="AA11" i="3"/>
  <c r="AB11" i="3" s="1"/>
  <c r="AC11" i="3"/>
  <c r="Z20" i="3"/>
  <c r="AA20" i="3"/>
  <c r="AB20" i="3" s="1"/>
  <c r="AC20" i="3"/>
  <c r="Z21" i="3" l="1"/>
  <c r="AA21" i="3"/>
  <c r="AB21" i="3" s="1"/>
  <c r="AC21" i="3"/>
  <c r="Z24" i="3"/>
  <c r="AA24" i="3"/>
  <c r="AB24" i="3" s="1"/>
  <c r="AC24" i="3"/>
  <c r="AA57" i="5" l="1"/>
  <c r="AB57" i="5"/>
  <c r="AC57" i="5" s="1"/>
  <c r="AD57" i="5" l="1"/>
  <c r="AA16" i="5"/>
  <c r="AB16" i="5"/>
  <c r="AC16" i="5" s="1"/>
  <c r="AD16" i="5"/>
  <c r="AA17" i="5"/>
  <c r="AB17" i="5"/>
  <c r="AC17" i="5" s="1"/>
  <c r="AD17" i="5"/>
  <c r="AA49" i="5"/>
  <c r="AB49" i="5"/>
  <c r="AC49" i="5" s="1"/>
  <c r="AD49" i="5"/>
  <c r="AA14" i="5" l="1"/>
  <c r="AB14" i="5"/>
  <c r="AC14" i="5" s="1"/>
  <c r="AD14" i="5"/>
  <c r="M12" i="5" l="1"/>
  <c r="M11" i="5"/>
  <c r="M10" i="5"/>
  <c r="Z8" i="3" l="1"/>
  <c r="AA8" i="3"/>
  <c r="AB8" i="3" s="1"/>
  <c r="L8" i="3"/>
  <c r="AC8" i="3" s="1"/>
  <c r="Z7" i="3" l="1"/>
  <c r="AA7" i="3"/>
  <c r="AB7" i="3" s="1"/>
  <c r="AC7" i="3"/>
  <c r="Z6" i="3" l="1"/>
  <c r="AA6" i="3"/>
  <c r="AB6" i="3" s="1"/>
  <c r="AC6" i="3"/>
  <c r="Z3" i="4" l="1"/>
  <c r="AA3" i="4"/>
  <c r="AB3" i="4" s="1"/>
  <c r="AA8" i="5" l="1"/>
  <c r="AB8" i="5"/>
  <c r="AC8" i="5" s="1"/>
  <c r="AD8" i="5"/>
  <c r="AA9" i="5"/>
  <c r="AB9" i="5"/>
  <c r="AC9" i="5" s="1"/>
  <c r="AD9" i="5"/>
  <c r="AA10" i="5"/>
  <c r="AB10" i="5"/>
  <c r="AC10" i="5" s="1"/>
  <c r="AD10" i="5"/>
  <c r="AA11" i="5"/>
  <c r="AB11" i="5"/>
  <c r="AC11" i="5" s="1"/>
  <c r="AD11" i="5"/>
  <c r="AA12" i="5"/>
  <c r="AB12" i="5"/>
  <c r="AC12" i="5" s="1"/>
  <c r="AD12" i="5"/>
  <c r="AA13" i="5"/>
  <c r="AB13" i="5"/>
  <c r="AC13" i="5" s="1"/>
  <c r="AD13" i="5"/>
  <c r="T7" i="5" l="1"/>
  <c r="AA7" i="5" s="1"/>
  <c r="M7" i="5"/>
  <c r="AD7" i="5" s="1"/>
  <c r="AB7" i="5"/>
  <c r="AC7" i="5" s="1"/>
  <c r="M5" i="5"/>
  <c r="M4" i="5"/>
  <c r="M3" i="5"/>
  <c r="B29" i="7" l="1"/>
  <c r="B28" i="7"/>
  <c r="B27" i="7"/>
  <c r="AA5" i="3"/>
  <c r="AB5" i="3" s="1"/>
  <c r="AC5" i="3"/>
  <c r="Z5" i="3"/>
  <c r="P29" i="7" l="1"/>
  <c r="O29" i="7"/>
  <c r="N29" i="7"/>
  <c r="M29" i="7"/>
  <c r="L29" i="7"/>
  <c r="K29" i="7"/>
  <c r="J29" i="7"/>
  <c r="I29" i="7"/>
  <c r="H29" i="7"/>
  <c r="G29" i="7"/>
  <c r="F29" i="7"/>
  <c r="Q29" i="7"/>
  <c r="Q28" i="7"/>
  <c r="P28" i="7"/>
  <c r="O28" i="7"/>
  <c r="N28" i="7"/>
  <c r="M28" i="7"/>
  <c r="L28" i="7"/>
  <c r="J28" i="7"/>
  <c r="I28" i="7"/>
  <c r="H28" i="7"/>
  <c r="G28" i="7"/>
  <c r="F28" i="7"/>
  <c r="E29" i="7"/>
  <c r="E28" i="7"/>
  <c r="D29" i="7"/>
  <c r="D28" i="7"/>
  <c r="C29" i="7"/>
  <c r="C28" i="7"/>
  <c r="G27" i="7"/>
  <c r="H27" i="7"/>
  <c r="I27" i="7"/>
  <c r="J27" i="7"/>
  <c r="L27" i="7"/>
  <c r="M27" i="7"/>
  <c r="N27" i="7"/>
  <c r="O27" i="7"/>
  <c r="P27" i="7"/>
  <c r="Q27" i="7"/>
  <c r="F27" i="7"/>
  <c r="E27" i="7"/>
  <c r="D27" i="7"/>
  <c r="C27" i="7"/>
  <c r="P72" i="6"/>
  <c r="Q72" i="6"/>
  <c r="R72" i="6"/>
  <c r="S72" i="6"/>
  <c r="T72" i="6"/>
  <c r="U72" i="6"/>
  <c r="V72" i="6"/>
  <c r="W72" i="6"/>
  <c r="X72" i="6"/>
  <c r="Y72" i="6"/>
  <c r="Z72" i="6"/>
  <c r="O72" i="6"/>
  <c r="P71" i="6"/>
  <c r="Q71" i="6"/>
  <c r="R71" i="6"/>
  <c r="S71" i="6"/>
  <c r="U71" i="6"/>
  <c r="V71" i="6"/>
  <c r="W71" i="6"/>
  <c r="X71" i="6"/>
  <c r="Y71" i="6"/>
  <c r="Z71" i="6"/>
  <c r="O71" i="6"/>
  <c r="P70" i="6"/>
  <c r="Q70" i="6"/>
  <c r="R70" i="6"/>
  <c r="S70" i="6"/>
  <c r="U70" i="6"/>
  <c r="V70" i="6"/>
  <c r="W70" i="6"/>
  <c r="X70" i="6"/>
  <c r="Y70" i="6"/>
  <c r="Z70" i="6"/>
  <c r="O70" i="6"/>
  <c r="AB3" i="6"/>
  <c r="AC3" i="6" s="1"/>
  <c r="AD3" i="6"/>
  <c r="AB4" i="6"/>
  <c r="AC4" i="6" s="1"/>
  <c r="AD4" i="6"/>
  <c r="AB5" i="6"/>
  <c r="AC5" i="6" s="1"/>
  <c r="AD5" i="6"/>
  <c r="AB6" i="6"/>
  <c r="AC6" i="6" s="1"/>
  <c r="AD6" i="6"/>
  <c r="AB7" i="6"/>
  <c r="AC7" i="6" s="1"/>
  <c r="AD7" i="6"/>
  <c r="AB8" i="6"/>
  <c r="AC8" i="6" s="1"/>
  <c r="AD8" i="6"/>
  <c r="AB9" i="6"/>
  <c r="AC9" i="6" s="1"/>
  <c r="AD9" i="6"/>
  <c r="AB10" i="6"/>
  <c r="AC10" i="6" s="1"/>
  <c r="AD10" i="6"/>
  <c r="AB11" i="6"/>
  <c r="AC11" i="6" s="1"/>
  <c r="AD11" i="6"/>
  <c r="AB12" i="6"/>
  <c r="AC12" i="6" s="1"/>
  <c r="AD12" i="6"/>
  <c r="M71" i="6" l="1"/>
  <c r="M72" i="6"/>
  <c r="L72" i="6"/>
  <c r="L71" i="6"/>
  <c r="K72" i="6"/>
  <c r="K71" i="6"/>
  <c r="I72" i="6"/>
  <c r="I71" i="6"/>
  <c r="I70" i="6"/>
  <c r="M70" i="6"/>
  <c r="L70" i="6"/>
  <c r="K70" i="6"/>
  <c r="AA3" i="5"/>
  <c r="AB3" i="5"/>
  <c r="AC3" i="5" s="1"/>
  <c r="AD3" i="5"/>
  <c r="AA4" i="5"/>
  <c r="AB4" i="5"/>
  <c r="AC4" i="5" s="1"/>
  <c r="AD4" i="5"/>
  <c r="AA5" i="5"/>
  <c r="AB5" i="5"/>
  <c r="AC5" i="5" s="1"/>
  <c r="AD5" i="5"/>
  <c r="AA6" i="5"/>
  <c r="AB6" i="5"/>
  <c r="AC6" i="5" s="1"/>
  <c r="AD6" i="5"/>
  <c r="AA4" i="6" l="1"/>
  <c r="AA3" i="6"/>
  <c r="AA6" i="6"/>
  <c r="AA7" i="6"/>
  <c r="AA5" i="6"/>
  <c r="AA8" i="6"/>
  <c r="AA9" i="6"/>
  <c r="AA10" i="6"/>
  <c r="AA11" i="6"/>
  <c r="AA12" i="6"/>
  <c r="K28" i="7" l="1"/>
  <c r="T71" i="6"/>
  <c r="K27" i="7"/>
  <c r="T70" i="6"/>
  <c r="B19" i="7" l="1"/>
  <c r="B18" i="7"/>
  <c r="B15" i="7"/>
  <c r="B13" i="7"/>
  <c r="B17" i="7"/>
  <c r="B14" i="7"/>
  <c r="P12" i="7" l="1"/>
  <c r="Q12" i="7"/>
  <c r="P13" i="7"/>
  <c r="Q13" i="7"/>
  <c r="P14" i="7"/>
  <c r="Q14" i="7"/>
  <c r="P15" i="7"/>
  <c r="Q15" i="7"/>
  <c r="P16" i="7"/>
  <c r="Q16" i="7"/>
  <c r="P17" i="7"/>
  <c r="Q17" i="7"/>
  <c r="P18" i="7"/>
  <c r="Q18" i="7"/>
  <c r="P19" i="7"/>
  <c r="Q19" i="7"/>
  <c r="P24" i="7"/>
  <c r="Q24" i="7"/>
  <c r="P25" i="7"/>
  <c r="Q25" i="7"/>
  <c r="P26" i="7"/>
  <c r="Q26" i="7"/>
  <c r="Y18" i="4"/>
  <c r="X18" i="4"/>
  <c r="Y17" i="4"/>
  <c r="X17" i="4"/>
  <c r="Y16" i="4"/>
  <c r="X16" i="4"/>
  <c r="Z61" i="5"/>
  <c r="Y61" i="5"/>
  <c r="Z60" i="5"/>
  <c r="Y60" i="5"/>
  <c r="Z59" i="5"/>
  <c r="Y59" i="5"/>
  <c r="Z58" i="5"/>
  <c r="Y58" i="5"/>
  <c r="Z3" i="3"/>
  <c r="Z4" i="3"/>
  <c r="Y25" i="3"/>
  <c r="Y28" i="3"/>
  <c r="Y27" i="3"/>
  <c r="Y26" i="3"/>
  <c r="X28" i="3"/>
  <c r="X27" i="3"/>
  <c r="X26" i="3"/>
  <c r="X25" i="3"/>
  <c r="Q20" i="7" l="1"/>
  <c r="Q37" i="7" s="1"/>
  <c r="P20" i="7"/>
  <c r="P30" i="7"/>
  <c r="P41" i="7" s="1"/>
  <c r="Q30" i="7"/>
  <c r="Q41" i="7" s="1"/>
  <c r="Q31" i="7"/>
  <c r="Q42" i="7" s="1"/>
  <c r="P31" i="7"/>
  <c r="P42" i="7" s="1"/>
  <c r="Q21" i="7"/>
  <c r="Q34" i="7" s="1"/>
  <c r="P22" i="7"/>
  <c r="P39" i="7" s="1"/>
  <c r="Q23" i="7"/>
  <c r="P21" i="7"/>
  <c r="P34" i="7" s="1"/>
  <c r="Q22" i="7"/>
  <c r="Q39" i="7" s="1"/>
  <c r="Q32" i="7"/>
  <c r="Q43" i="7" s="1"/>
  <c r="P32" i="7"/>
  <c r="P43" i="7" s="1"/>
  <c r="P23" i="7"/>
  <c r="J18" i="4"/>
  <c r="P33" i="7" l="1"/>
  <c r="P44" i="7" s="1"/>
  <c r="P37" i="7"/>
  <c r="Q33" i="7"/>
  <c r="Q44" i="7" s="1"/>
  <c r="P36" i="7"/>
  <c r="Q36" i="7"/>
  <c r="P35" i="7"/>
  <c r="Q38" i="7"/>
  <c r="Q40" i="7"/>
  <c r="P40" i="7"/>
  <c r="Q35" i="7"/>
  <c r="P38" i="7"/>
  <c r="B26" i="7"/>
  <c r="B25" i="7"/>
  <c r="O26" i="7"/>
  <c r="N26" i="7"/>
  <c r="M26" i="7"/>
  <c r="L26" i="7"/>
  <c r="K26" i="7"/>
  <c r="J26" i="7"/>
  <c r="I26" i="7"/>
  <c r="H26" i="7"/>
  <c r="G26" i="7"/>
  <c r="F26" i="7"/>
  <c r="E26" i="7"/>
  <c r="D26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O19" i="7"/>
  <c r="N19" i="7"/>
  <c r="M19" i="7"/>
  <c r="L19" i="7"/>
  <c r="K19" i="7"/>
  <c r="J19" i="7"/>
  <c r="I19" i="7"/>
  <c r="H19" i="7"/>
  <c r="G19" i="7"/>
  <c r="F19" i="7"/>
  <c r="E19" i="7"/>
  <c r="D19" i="7"/>
  <c r="O18" i="7"/>
  <c r="N18" i="7"/>
  <c r="M18" i="7"/>
  <c r="L18" i="7"/>
  <c r="K18" i="7"/>
  <c r="J18" i="7"/>
  <c r="I18" i="7"/>
  <c r="H18" i="7"/>
  <c r="G18" i="7"/>
  <c r="F18" i="7"/>
  <c r="E18" i="7"/>
  <c r="D18" i="7"/>
  <c r="O17" i="7"/>
  <c r="N17" i="7"/>
  <c r="M17" i="7"/>
  <c r="L17" i="7"/>
  <c r="K17" i="7"/>
  <c r="J17" i="7"/>
  <c r="I17" i="7"/>
  <c r="H17" i="7"/>
  <c r="G17" i="7"/>
  <c r="F17" i="7"/>
  <c r="E17" i="7"/>
  <c r="D17" i="7"/>
  <c r="O15" i="7"/>
  <c r="O14" i="7"/>
  <c r="N15" i="7"/>
  <c r="N14" i="7"/>
  <c r="M15" i="7"/>
  <c r="M14" i="7"/>
  <c r="L15" i="7"/>
  <c r="L14" i="7"/>
  <c r="K15" i="7"/>
  <c r="K14" i="7"/>
  <c r="J15" i="7"/>
  <c r="J14" i="7"/>
  <c r="I15" i="7"/>
  <c r="I14" i="7"/>
  <c r="H15" i="7"/>
  <c r="H14" i="7"/>
  <c r="G15" i="7"/>
  <c r="G14" i="7"/>
  <c r="F15" i="7"/>
  <c r="F14" i="7"/>
  <c r="E15" i="7"/>
  <c r="E14" i="7"/>
  <c r="D15" i="7"/>
  <c r="D14" i="7"/>
  <c r="O13" i="7"/>
  <c r="N13" i="7"/>
  <c r="M13" i="7"/>
  <c r="L13" i="7"/>
  <c r="K13" i="7"/>
  <c r="J13" i="7"/>
  <c r="I13" i="7"/>
  <c r="H13" i="7"/>
  <c r="G13" i="7"/>
  <c r="F13" i="7"/>
  <c r="E13" i="7"/>
  <c r="D13" i="7"/>
  <c r="C26" i="7"/>
  <c r="C19" i="7"/>
  <c r="C18" i="7"/>
  <c r="C17" i="7"/>
  <c r="S14" i="7" l="1"/>
  <c r="S15" i="7"/>
  <c r="S13" i="7"/>
  <c r="R29" i="7"/>
  <c r="R25" i="7"/>
  <c r="R18" i="7"/>
  <c r="S29" i="7"/>
  <c r="S28" i="7"/>
  <c r="R26" i="7"/>
  <c r="S26" i="7"/>
  <c r="S25" i="7"/>
  <c r="R19" i="7"/>
  <c r="R17" i="7"/>
  <c r="S18" i="7"/>
  <c r="S17" i="7"/>
  <c r="S19" i="7"/>
  <c r="C15" i="7"/>
  <c r="C14" i="7"/>
  <c r="R14" i="7" s="1"/>
  <c r="C13" i="7"/>
  <c r="R13" i="7" l="1"/>
  <c r="R15" i="7"/>
  <c r="O32" i="7"/>
  <c r="O43" i="7" s="1"/>
  <c r="N32" i="7"/>
  <c r="N43" i="7" s="1"/>
  <c r="M32" i="7"/>
  <c r="M43" i="7" s="1"/>
  <c r="L32" i="7"/>
  <c r="L43" i="7" s="1"/>
  <c r="K32" i="7"/>
  <c r="K43" i="7" s="1"/>
  <c r="J32" i="7"/>
  <c r="J43" i="7" s="1"/>
  <c r="I32" i="7"/>
  <c r="I43" i="7" s="1"/>
  <c r="H32" i="7"/>
  <c r="H43" i="7" s="1"/>
  <c r="G32" i="7"/>
  <c r="G43" i="7" s="1"/>
  <c r="F32" i="7"/>
  <c r="F43" i="7" s="1"/>
  <c r="E32" i="7"/>
  <c r="E43" i="7" s="1"/>
  <c r="D32" i="7"/>
  <c r="D43" i="7" s="1"/>
  <c r="C32" i="7"/>
  <c r="C43" i="7" s="1"/>
  <c r="B32" i="7"/>
  <c r="B43" i="7" s="1"/>
  <c r="O31" i="7"/>
  <c r="O42" i="7" s="1"/>
  <c r="N31" i="7"/>
  <c r="N42" i="7" s="1"/>
  <c r="M31" i="7"/>
  <c r="M42" i="7" s="1"/>
  <c r="L31" i="7"/>
  <c r="L42" i="7" s="1"/>
  <c r="K31" i="7"/>
  <c r="K42" i="7" s="1"/>
  <c r="J31" i="7"/>
  <c r="J42" i="7" s="1"/>
  <c r="I31" i="7"/>
  <c r="I42" i="7" s="1"/>
  <c r="H31" i="7"/>
  <c r="H42" i="7" s="1"/>
  <c r="G31" i="7"/>
  <c r="G42" i="7" s="1"/>
  <c r="F31" i="7"/>
  <c r="F42" i="7" s="1"/>
  <c r="E31" i="7"/>
  <c r="E42" i="7" s="1"/>
  <c r="C31" i="7"/>
  <c r="C42" i="7" s="1"/>
  <c r="B31" i="7"/>
  <c r="B42" i="7" s="1"/>
  <c r="O22" i="7"/>
  <c r="O39" i="7" s="1"/>
  <c r="N22" i="7"/>
  <c r="N39" i="7" s="1"/>
  <c r="M22" i="7"/>
  <c r="M39" i="7" s="1"/>
  <c r="L22" i="7"/>
  <c r="L39" i="7" s="1"/>
  <c r="K22" i="7"/>
  <c r="K39" i="7" s="1"/>
  <c r="J22" i="7"/>
  <c r="J39" i="7" s="1"/>
  <c r="I22" i="7"/>
  <c r="I39" i="7" s="1"/>
  <c r="H22" i="7"/>
  <c r="H39" i="7" s="1"/>
  <c r="G22" i="7"/>
  <c r="G39" i="7" s="1"/>
  <c r="F22" i="7"/>
  <c r="F39" i="7" s="1"/>
  <c r="E22" i="7"/>
  <c r="E39" i="7" s="1"/>
  <c r="D22" i="7"/>
  <c r="D39" i="7" s="1"/>
  <c r="C22" i="7"/>
  <c r="C39" i="7" s="1"/>
  <c r="B22" i="7"/>
  <c r="B39" i="7" s="1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C38" i="7" s="1"/>
  <c r="B21" i="7"/>
  <c r="W28" i="3"/>
  <c r="V28" i="3"/>
  <c r="U28" i="3"/>
  <c r="T28" i="3"/>
  <c r="S28" i="3"/>
  <c r="R28" i="3"/>
  <c r="Q28" i="3"/>
  <c r="P28" i="3"/>
  <c r="O28" i="3"/>
  <c r="N28" i="3"/>
  <c r="W27" i="3"/>
  <c r="V27" i="3"/>
  <c r="U27" i="3"/>
  <c r="T27" i="3"/>
  <c r="S27" i="3"/>
  <c r="R27" i="3"/>
  <c r="Q27" i="3"/>
  <c r="P27" i="3"/>
  <c r="O27" i="3"/>
  <c r="N27" i="3"/>
  <c r="W26" i="3"/>
  <c r="V26" i="3"/>
  <c r="U26" i="3"/>
  <c r="T26" i="3"/>
  <c r="S26" i="3"/>
  <c r="R26" i="3"/>
  <c r="Q26" i="3"/>
  <c r="P26" i="3"/>
  <c r="O26" i="3"/>
  <c r="N26" i="3"/>
  <c r="L28" i="3"/>
  <c r="K28" i="3"/>
  <c r="J28" i="3"/>
  <c r="L27" i="3"/>
  <c r="K27" i="3"/>
  <c r="J27" i="3"/>
  <c r="J26" i="3"/>
  <c r="H27" i="3"/>
  <c r="H26" i="3"/>
  <c r="X61" i="5"/>
  <c r="W61" i="5"/>
  <c r="V61" i="5"/>
  <c r="U61" i="5"/>
  <c r="T61" i="5"/>
  <c r="S61" i="5"/>
  <c r="R61" i="5"/>
  <c r="Q61" i="5"/>
  <c r="P61" i="5"/>
  <c r="O61" i="5"/>
  <c r="X60" i="5"/>
  <c r="W60" i="5"/>
  <c r="V60" i="5"/>
  <c r="U60" i="5"/>
  <c r="T60" i="5"/>
  <c r="S60" i="5"/>
  <c r="R60" i="5"/>
  <c r="Q60" i="5"/>
  <c r="P60" i="5"/>
  <c r="O60" i="5"/>
  <c r="X59" i="5"/>
  <c r="W59" i="5"/>
  <c r="V59" i="5"/>
  <c r="U59" i="5"/>
  <c r="T59" i="5"/>
  <c r="S59" i="5"/>
  <c r="R59" i="5"/>
  <c r="Q59" i="5"/>
  <c r="P59" i="5"/>
  <c r="O59" i="5"/>
  <c r="M61" i="5"/>
  <c r="L61" i="5"/>
  <c r="K61" i="5"/>
  <c r="M60" i="5"/>
  <c r="L60" i="5"/>
  <c r="K60" i="5"/>
  <c r="M59" i="5"/>
  <c r="L59" i="5"/>
  <c r="K59" i="5"/>
  <c r="I60" i="5"/>
  <c r="I59" i="5"/>
  <c r="W17" i="4"/>
  <c r="V17" i="4"/>
  <c r="U17" i="4"/>
  <c r="T17" i="4"/>
  <c r="S17" i="4"/>
  <c r="R17" i="4"/>
  <c r="Q17" i="4"/>
  <c r="P17" i="4"/>
  <c r="O17" i="4"/>
  <c r="N17" i="4"/>
  <c r="L17" i="4"/>
  <c r="K17" i="4"/>
  <c r="J17" i="4"/>
  <c r="H17" i="4"/>
  <c r="Z17" i="4" l="1"/>
  <c r="AA71" i="6"/>
  <c r="AA60" i="5"/>
  <c r="AA61" i="5"/>
  <c r="AA59" i="5"/>
  <c r="N34" i="7"/>
  <c r="N38" i="7"/>
  <c r="I34" i="7"/>
  <c r="I38" i="7"/>
  <c r="O34" i="7"/>
  <c r="O38" i="7"/>
  <c r="H34" i="7"/>
  <c r="H38" i="7"/>
  <c r="D34" i="7"/>
  <c r="D38" i="7"/>
  <c r="J34" i="7"/>
  <c r="J38" i="7"/>
  <c r="S21" i="7"/>
  <c r="E38" i="7"/>
  <c r="K34" i="7"/>
  <c r="K38" i="7"/>
  <c r="Z28" i="3"/>
  <c r="F34" i="7"/>
  <c r="F38" i="7"/>
  <c r="L34" i="7"/>
  <c r="L38" i="7"/>
  <c r="B34" i="7"/>
  <c r="B38" i="7"/>
  <c r="Z27" i="3"/>
  <c r="G34" i="7"/>
  <c r="G38" i="7"/>
  <c r="M34" i="7"/>
  <c r="M38" i="7"/>
  <c r="R32" i="7"/>
  <c r="AA17" i="4"/>
  <c r="S32" i="7"/>
  <c r="S31" i="7"/>
  <c r="C34" i="7"/>
  <c r="R21" i="7"/>
  <c r="E34" i="7"/>
  <c r="S22" i="7"/>
  <c r="R22" i="7"/>
  <c r="E35" i="7"/>
  <c r="M35" i="7"/>
  <c r="H35" i="7"/>
  <c r="AB59" i="5"/>
  <c r="L35" i="7"/>
  <c r="I35" i="7"/>
  <c r="C35" i="7"/>
  <c r="G35" i="7"/>
  <c r="K35" i="7"/>
  <c r="O35" i="7"/>
  <c r="B35" i="7"/>
  <c r="F35" i="7"/>
  <c r="J35" i="7"/>
  <c r="N35" i="7"/>
  <c r="AB71" i="6"/>
  <c r="AC17" i="4"/>
  <c r="AD59" i="5"/>
  <c r="K26" i="3"/>
  <c r="Z26" i="3" s="1"/>
  <c r="S34" i="7" l="1"/>
  <c r="S35" i="7"/>
  <c r="R34" i="7"/>
  <c r="B24" i="7"/>
  <c r="AA26" i="3"/>
  <c r="O23" i="7"/>
  <c r="N23" i="7"/>
  <c r="M23" i="7"/>
  <c r="L23" i="7"/>
  <c r="K23" i="7"/>
  <c r="J23" i="7"/>
  <c r="I23" i="7"/>
  <c r="H23" i="7"/>
  <c r="G23" i="7"/>
  <c r="F23" i="7"/>
  <c r="E23" i="7"/>
  <c r="E40" i="7" s="1"/>
  <c r="D23" i="7"/>
  <c r="C23" i="7"/>
  <c r="C40" i="7" s="1"/>
  <c r="B23" i="7"/>
  <c r="O24" i="7"/>
  <c r="N24" i="7"/>
  <c r="M24" i="7"/>
  <c r="L24" i="7"/>
  <c r="K24" i="7"/>
  <c r="J24" i="7"/>
  <c r="I24" i="7"/>
  <c r="H24" i="7"/>
  <c r="G24" i="7"/>
  <c r="F24" i="7"/>
  <c r="E24" i="7"/>
  <c r="C24" i="7"/>
  <c r="W18" i="4"/>
  <c r="V18" i="4"/>
  <c r="U18" i="4"/>
  <c r="T18" i="4"/>
  <c r="S18" i="4"/>
  <c r="R18" i="4"/>
  <c r="Q18" i="4"/>
  <c r="P18" i="4"/>
  <c r="O18" i="4"/>
  <c r="N18" i="4"/>
  <c r="L18" i="4"/>
  <c r="K18" i="4"/>
  <c r="H18" i="4"/>
  <c r="I61" i="5"/>
  <c r="H28" i="3"/>
  <c r="AC3" i="4" l="1"/>
  <c r="Z18" i="4"/>
  <c r="D24" i="7"/>
  <c r="D30" i="7" s="1"/>
  <c r="D41" i="7" s="1"/>
  <c r="L36" i="7"/>
  <c r="L40" i="7"/>
  <c r="G36" i="7"/>
  <c r="G40" i="7"/>
  <c r="H36" i="7"/>
  <c r="H40" i="7"/>
  <c r="F36" i="7"/>
  <c r="F40" i="7"/>
  <c r="M36" i="7"/>
  <c r="M40" i="7"/>
  <c r="N36" i="7"/>
  <c r="N40" i="7"/>
  <c r="B36" i="7"/>
  <c r="B40" i="7"/>
  <c r="I36" i="7"/>
  <c r="I40" i="7"/>
  <c r="O36" i="7"/>
  <c r="O40" i="7"/>
  <c r="D36" i="7"/>
  <c r="D40" i="7"/>
  <c r="J36" i="7"/>
  <c r="J40" i="7"/>
  <c r="K36" i="7"/>
  <c r="K40" i="7"/>
  <c r="AA72" i="6"/>
  <c r="AA70" i="6"/>
  <c r="L26" i="3"/>
  <c r="AC26" i="3" s="1"/>
  <c r="R27" i="7"/>
  <c r="S24" i="7"/>
  <c r="C36" i="7"/>
  <c r="R23" i="7"/>
  <c r="E36" i="7"/>
  <c r="S23" i="7"/>
  <c r="L30" i="7"/>
  <c r="L41" i="7" s="1"/>
  <c r="H30" i="7"/>
  <c r="H41" i="7" s="1"/>
  <c r="G30" i="7"/>
  <c r="G41" i="7" s="1"/>
  <c r="K30" i="7"/>
  <c r="K41" i="7" s="1"/>
  <c r="O30" i="7"/>
  <c r="O41" i="7" s="1"/>
  <c r="J30" i="7"/>
  <c r="J41" i="7" s="1"/>
  <c r="E30" i="7"/>
  <c r="E41" i="7" s="1"/>
  <c r="I30" i="7"/>
  <c r="I41" i="7" s="1"/>
  <c r="M30" i="7"/>
  <c r="M41" i="7" s="1"/>
  <c r="F30" i="7"/>
  <c r="F41" i="7" s="1"/>
  <c r="N30" i="7"/>
  <c r="N41" i="7" s="1"/>
  <c r="C30" i="7"/>
  <c r="C41" i="7" s="1"/>
  <c r="B30" i="7"/>
  <c r="B41" i="7" s="1"/>
  <c r="H16" i="4"/>
  <c r="L16" i="4"/>
  <c r="K16" i="4"/>
  <c r="J16" i="4"/>
  <c r="W16" i="4"/>
  <c r="V16" i="4"/>
  <c r="U16" i="4"/>
  <c r="T16" i="4"/>
  <c r="S16" i="4"/>
  <c r="R16" i="4"/>
  <c r="Q16" i="4"/>
  <c r="P16" i="4"/>
  <c r="O16" i="4"/>
  <c r="N16" i="4"/>
  <c r="AB72" i="6"/>
  <c r="AD72" i="6"/>
  <c r="AB60" i="5"/>
  <c r="AD60" i="5"/>
  <c r="AB61" i="5"/>
  <c r="AD61" i="5"/>
  <c r="AA27" i="3"/>
  <c r="AC27" i="3"/>
  <c r="AA28" i="3"/>
  <c r="AC28" i="3"/>
  <c r="B16" i="7"/>
  <c r="B12" i="7"/>
  <c r="O16" i="7"/>
  <c r="N16" i="7"/>
  <c r="M16" i="7"/>
  <c r="L16" i="7"/>
  <c r="K16" i="7"/>
  <c r="J16" i="7"/>
  <c r="I16" i="7"/>
  <c r="H16" i="7"/>
  <c r="O12" i="7"/>
  <c r="N12" i="7"/>
  <c r="M12" i="7"/>
  <c r="L12" i="7"/>
  <c r="K12" i="7"/>
  <c r="J12" i="7"/>
  <c r="I12" i="7"/>
  <c r="H12" i="7"/>
  <c r="AB70" i="6"/>
  <c r="AD70" i="6"/>
  <c r="R24" i="7" l="1"/>
  <c r="Z16" i="4"/>
  <c r="R28" i="7"/>
  <c r="D31" i="7"/>
  <c r="O20" i="7"/>
  <c r="O37" i="7" s="1"/>
  <c r="N20" i="7"/>
  <c r="N33" i="7" s="1"/>
  <c r="J20" i="7"/>
  <c r="J37" i="7" s="1"/>
  <c r="K20" i="7"/>
  <c r="K33" i="7" s="1"/>
  <c r="S36" i="7"/>
  <c r="H20" i="7"/>
  <c r="H37" i="7" s="1"/>
  <c r="AA16" i="4"/>
  <c r="S30" i="7"/>
  <c r="R30" i="7"/>
  <c r="M20" i="7"/>
  <c r="M37" i="7" s="1"/>
  <c r="I20" i="7"/>
  <c r="I33" i="7" s="1"/>
  <c r="R36" i="7"/>
  <c r="B20" i="7"/>
  <c r="L20" i="7"/>
  <c r="AC16" i="4"/>
  <c r="O25" i="3"/>
  <c r="AA3" i="3"/>
  <c r="AB3" i="3" s="1"/>
  <c r="AA4" i="3"/>
  <c r="AB4" i="3" s="1"/>
  <c r="D42" i="7" l="1"/>
  <c r="D35" i="7"/>
  <c r="R35" i="7" s="1"/>
  <c r="R31" i="7"/>
  <c r="N37" i="7"/>
  <c r="O33" i="7"/>
  <c r="O44" i="7" s="1"/>
  <c r="J33" i="7"/>
  <c r="J44" i="7" s="1"/>
  <c r="N44" i="7"/>
  <c r="L33" i="7"/>
  <c r="L44" i="7" s="1"/>
  <c r="M33" i="7"/>
  <c r="M44" i="7" s="1"/>
  <c r="L37" i="7"/>
  <c r="K37" i="7"/>
  <c r="H33" i="7"/>
  <c r="H44" i="7" s="1"/>
  <c r="I44" i="7"/>
  <c r="K44" i="7"/>
  <c r="B37" i="7"/>
  <c r="I37" i="7"/>
  <c r="S27" i="7"/>
  <c r="E16" i="7" l="1"/>
  <c r="E12" i="7"/>
  <c r="E20" i="7" l="1"/>
  <c r="E33" i="7" s="1"/>
  <c r="G12" i="7"/>
  <c r="G16" i="7"/>
  <c r="F16" i="7"/>
  <c r="F12" i="7"/>
  <c r="C16" i="7"/>
  <c r="C12" i="7"/>
  <c r="B33" i="7"/>
  <c r="B44" i="7" s="1"/>
  <c r="X58" i="5"/>
  <c r="W58" i="5"/>
  <c r="V58" i="5"/>
  <c r="V63" i="5" s="1"/>
  <c r="U58" i="5"/>
  <c r="T58" i="5"/>
  <c r="S58" i="5"/>
  <c r="R58" i="5"/>
  <c r="Q58" i="5"/>
  <c r="P58" i="5"/>
  <c r="O58" i="5"/>
  <c r="L58" i="5"/>
  <c r="K58" i="5"/>
  <c r="I58" i="5"/>
  <c r="W25" i="3"/>
  <c r="V25" i="3"/>
  <c r="U25" i="3"/>
  <c r="T25" i="3"/>
  <c r="S25" i="3"/>
  <c r="R25" i="3"/>
  <c r="Q25" i="3"/>
  <c r="P25" i="3"/>
  <c r="N25" i="3"/>
  <c r="J25" i="3"/>
  <c r="H25" i="3"/>
  <c r="AC4" i="3"/>
  <c r="AC3" i="3"/>
  <c r="S16" i="7" l="1"/>
  <c r="AA58" i="5"/>
  <c r="E44" i="7"/>
  <c r="E37" i="7"/>
  <c r="Z25" i="3"/>
  <c r="S12" i="7"/>
  <c r="C20" i="7"/>
  <c r="F20" i="7"/>
  <c r="G20" i="7"/>
  <c r="AB58" i="5"/>
  <c r="AA18" i="4"/>
  <c r="AA25" i="3"/>
  <c r="D16" i="7"/>
  <c r="R16" i="7" s="1"/>
  <c r="L25" i="3"/>
  <c r="AC25" i="3" s="1"/>
  <c r="M58" i="5"/>
  <c r="AD58" i="5" s="1"/>
  <c r="D12" i="7"/>
  <c r="AC18" i="4"/>
  <c r="G33" i="7" l="1"/>
  <c r="G44" i="7" s="1"/>
  <c r="R12" i="7"/>
  <c r="C37" i="7"/>
  <c r="C33" i="7"/>
  <c r="C44" i="7" s="1"/>
  <c r="F37" i="7"/>
  <c r="G37" i="7"/>
  <c r="S20" i="7"/>
  <c r="D20" i="7"/>
  <c r="F33" i="7"/>
  <c r="F44" i="7" s="1"/>
  <c r="R20" i="7" l="1"/>
  <c r="S33" i="7"/>
  <c r="D37" i="7"/>
  <c r="D33" i="7"/>
  <c r="R33" i="7" s="1"/>
  <c r="D44" i="7" l="1"/>
  <c r="AD71" i="6" l="1"/>
</calcChain>
</file>

<file path=xl/sharedStrings.xml><?xml version="1.0" encoding="utf-8"?>
<sst xmlns="http://schemas.openxmlformats.org/spreadsheetml/2006/main" count="1251" uniqueCount="516">
  <si>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</si>
  <si>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</si>
  <si>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</si>
  <si>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</si>
  <si>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</si>
  <si>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</si>
  <si>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</si>
  <si>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</si>
  <si>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</si>
  <si>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</si>
  <si>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</si>
  <si>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</si>
  <si>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</si>
  <si>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</si>
  <si>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</si>
  <si>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</si>
  <si>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</si>
  <si>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</si>
  <si>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</si>
  <si>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</si>
  <si>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</si>
  <si>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</si>
  <si>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</si>
  <si>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</si>
  <si>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</si>
  <si>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</si>
  <si>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</si>
  <si>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</si>
  <si>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</si>
  <si>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</si>
  <si>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</si>
  <si>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</si>
  <si>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RAZEM listy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</si>
  <si>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</si>
  <si>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</si>
  <si>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</si>
  <si>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</si>
  <si>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</si>
  <si>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</si>
  <si>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</si>
  <si>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</si>
  <si>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</si>
  <si>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</si>
  <si>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</si>
  <si>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</si>
  <si>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</si>
  <si>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Lista zadań powiatowych i zadań gminnych rekomendowanych do dofinansowania w ramach Rządowego Funduszu Rozwoju Dróg</t>
  </si>
  <si>
    <t>K</t>
  </si>
  <si>
    <t>Powiat Kielecki</t>
  </si>
  <si>
    <t>B</t>
  </si>
  <si>
    <t>P</t>
  </si>
  <si>
    <t>202/A/2023</t>
  </si>
  <si>
    <t>Rozbudowa drogi powiatowej nr 1372T od km 2+775 do km 5+000 oraz od km 6+800 do km 8+100 w trybie zaprojektuj i wybuduj</t>
  </si>
  <si>
    <t>04.2023 11.2026</t>
  </si>
  <si>
    <t>203/A/2023</t>
  </si>
  <si>
    <t>Przebudowa i rozbudowa drogi powiatowej nr 1358T na odcinku Łabędziów - Radomice w trybie zaprojektuj i wybuduj</t>
  </si>
  <si>
    <t>Województwo: świętokrzyskie</t>
  </si>
  <si>
    <t>Powiat Ostrowiecki</t>
  </si>
  <si>
    <t>Powiat Skarżyski</t>
  </si>
  <si>
    <t>Gmina Chęciny</t>
  </si>
  <si>
    <t>kielecki</t>
  </si>
  <si>
    <t>Gmina Zagnańsk</t>
  </si>
  <si>
    <t>Gmina Busko-Zdrój</t>
  </si>
  <si>
    <t>buski</t>
  </si>
  <si>
    <t>Gmina Końskie</t>
  </si>
  <si>
    <t>konecki</t>
  </si>
  <si>
    <t>Gmina Pińczów</t>
  </si>
  <si>
    <t>pińczowski</t>
  </si>
  <si>
    <t>skarżyski</t>
  </si>
  <si>
    <t>12/A/2024</t>
  </si>
  <si>
    <t>opatowski</t>
  </si>
  <si>
    <t>Rozbudowa ul. Rehabilitacyjnej nr 314110T w Busku-Zdroju</t>
  </si>
  <si>
    <t>08.2024 07.2026</t>
  </si>
  <si>
    <t>124/A/2024</t>
  </si>
  <si>
    <t>126/A/2024</t>
  </si>
  <si>
    <t>Budowa dróg wraz z odwodnieniem i oświetleniem na terenie osiedla Skiby, gmina Chęciny - etap 3</t>
  </si>
  <si>
    <t>Budowa dróg wraz z odwodnieniem i oświetleniem na terenie osiedla Skiby, gmina Chęciny - etap 4</t>
  </si>
  <si>
    <t>08.2024 11.2026</t>
  </si>
  <si>
    <t>18/A/2024</t>
  </si>
  <si>
    <t>Rozbudowa ul. Ogrodowej nr 314097T w Busku-Zdroju wraz z budową i przebudową niezbędnej infrastruktury technicznej</t>
  </si>
  <si>
    <t>09.2024 08.2026</t>
  </si>
  <si>
    <t>54/A/2024</t>
  </si>
  <si>
    <t>Gmina Ożarów</t>
  </si>
  <si>
    <t>Budowa ulicy w Pińczowie oznaczonej w Miejscowym Planie Zagospodarowania Przestrzennego 3KDD i 5KDD (droga gminna dojazdowa)</t>
  </si>
  <si>
    <t>188/A/2025</t>
  </si>
  <si>
    <t>W</t>
  </si>
  <si>
    <t xml:space="preserve">Rozbudowa dróg powiatowych nr 1287T i nr 1381T wraz z rozbudową mostu w miejscowości Umer gm. Zagnańsk </t>
  </si>
  <si>
    <t>05.2025 11.2026</t>
  </si>
  <si>
    <t>146/A/2025</t>
  </si>
  <si>
    <t>Rozbudowa drogi powiatowej nr 0656T ul. Warszawska w Kunowie</t>
  </si>
  <si>
    <t>186/A/2025</t>
  </si>
  <si>
    <t xml:space="preserve">Rozbudowa drogi powiatowej nr 1417T wraz z rozbudową skrzyżowania z drogą powiatową nr 1418T w miejscowości Cząstków </t>
  </si>
  <si>
    <t>03.2025 11.2026</t>
  </si>
  <si>
    <t>145/A/2025</t>
  </si>
  <si>
    <t>Rozbudowa drogi powiatowej nr 0665T w miejscowości Świrna, gmina Bodzechów - etap II</t>
  </si>
  <si>
    <t>82/A/2025</t>
  </si>
  <si>
    <t>Budowa ulicy łączącej ul. Ceglaną w Busku-Zdroju z ul. Korczyńską w Zbludowicach wraz z budową ronda</t>
  </si>
  <si>
    <t>06.2025 12.2027</t>
  </si>
  <si>
    <t>26/A/2025</t>
  </si>
  <si>
    <t>Budowa skrzyżowań ul. Starowarszawskiej z ul. Targową oraz ul. Starowarszawskiej z ul. Warszawską i Spółdzielczą w Końskich</t>
  </si>
  <si>
    <t>02.2025 12.2026</t>
  </si>
  <si>
    <t>75/A/2025</t>
  </si>
  <si>
    <t>Budowa drogi gminnej Nr 360084T ul. Przemysłowej w mieście Ożarów o początku od skrzyżowania z drogą powiatową ul. Kościuszki i końcu do skrzyżowania z drogą krajową Nr 79 ul. Kochanowskiego</t>
  </si>
  <si>
    <t>04.2025 10.2027</t>
  </si>
  <si>
    <t>174/A/2025</t>
  </si>
  <si>
    <t>Gmina Skarżysko Kościelne</t>
  </si>
  <si>
    <t>Rozbudowa drogi gminnej ul. Polnej w miejscowości Skarżysko Kościelne - etap I</t>
  </si>
  <si>
    <t>06.2025 10.2026</t>
  </si>
  <si>
    <t>120/A/2025</t>
  </si>
  <si>
    <t>Przebudowa ul. Zelejowej na odc. od skrzyżowania z DW 762 do skrzyżowania z drogą gminną na dz. 604 wraz z budową kanalizacji deszczowej</t>
  </si>
  <si>
    <t>83/A/2025</t>
  </si>
  <si>
    <t>Budowa ulicy Zachodniej nr 314133T w Busku-Zdroju</t>
  </si>
  <si>
    <t>06.2025 11.2027</t>
  </si>
  <si>
    <t>72/A/2025</t>
  </si>
  <si>
    <t>Budowa drogi ul. Słoneczna msc. Zagnańsk, gmina Zagnańsk - etap II</t>
  </si>
  <si>
    <t>46/A/2025</t>
  </si>
  <si>
    <t>Rozbudowa drogi powiatowej nr 0573T (1763T) w miejscowości Majków - Michałów w Gminie Skarżysko Kościelne - Etap II</t>
  </si>
  <si>
    <t>03.2025 09.2026</t>
  </si>
  <si>
    <t>63/A/2026</t>
  </si>
  <si>
    <t>Przebudowa dróg powiatowych: nr 1249T Bejsce - Parcelacja - Morawiany - Kijany - gr. woj. świętokrzyskiego (Filipowice) od km 0+000 do km 2+085 oraz 1247T Morawiany - Morawianki - Gaj - Ławy od km 0+000 do km 2+086</t>
  </si>
  <si>
    <t>03.2026 11.2026</t>
  </si>
  <si>
    <t>N</t>
  </si>
  <si>
    <t>158/A/2026</t>
  </si>
  <si>
    <t>Rozbudowa i przebudowa drogi powiatowej nr 1188T (stary numer 0264T) na odcinku Występy - Skorków</t>
  </si>
  <si>
    <t>06.2026 05.2027</t>
  </si>
  <si>
    <t>145/A/2026</t>
  </si>
  <si>
    <t>Przebudowa drogi powiatowej nr 1710T Sulisławice - Trzebiesławice w miejscowościach Sulisławice, Ruszcza Wieś od km 0+000 do km 1+967</t>
  </si>
  <si>
    <t>04.2026 03.2027</t>
  </si>
  <si>
    <t>213/A/2026</t>
  </si>
  <si>
    <t xml:space="preserve">Remont drogi powiatowej nr 1613T - ul. Stefana Żeromskiego w Ostrowcu Świętokrzyskim </t>
  </si>
  <si>
    <t>R</t>
  </si>
  <si>
    <t>113/A/2026</t>
  </si>
  <si>
    <t>Rozbudowa drogi powiatowej Nr 1482T Końskie - Wąsosz - Czarna ul. Browarna w Końskich</t>
  </si>
  <si>
    <t>04.2026 11.2027</t>
  </si>
  <si>
    <t>146/A/2026</t>
  </si>
  <si>
    <t>Przebudowa dróg powiatowych nr 1703T Świątniki - Byszów w miejscowości Świątniki od km 0+000 do km 0+924 oraz nr 1706T Klimontów - Obrazów w miejscowości Świątniki od km 9+118 do km 9+170</t>
  </si>
  <si>
    <t>157/A/2026</t>
  </si>
  <si>
    <t>Przebudowa drogi powiatowej nr 1882T w miejscowości Żelisławice w zakresie budowy chodnika</t>
  </si>
  <si>
    <t>62/A/2026</t>
  </si>
  <si>
    <t>Przebudowa drogi powiatowej nr 1231T (stary nr 0529T) Topola - Kamyszów - Broniszów, odcinek od km 0+770 do km 1+765, dł. 995 mb</t>
  </si>
  <si>
    <t>60/A/2026</t>
  </si>
  <si>
    <t>Przebudowa drogi powiatowej nr 1211T (stary nr 0505T) Skalbmierz - Kózki - Przybenice - Głuchów - Podkamieńczyce, od km 0+500 do km 1+405, dł. 905 mb</t>
  </si>
  <si>
    <t>127/A/2026</t>
  </si>
  <si>
    <t>Rozbudowa i przebudowa drogi powiatowej nr 1429T na odcinku od skrzyżowania z drogą powiatową 1322T w miejscowości Daleszyce do skrzyżowania z drogą wojewódzką nr 764 w miejscowości Niwy</t>
  </si>
  <si>
    <t>26/A/2026</t>
  </si>
  <si>
    <t>Przebudowa drogi powiatowej nr 1793T (0618T) w miejscowości Lipie - Etap II</t>
  </si>
  <si>
    <t>04.2026 09.2026</t>
  </si>
  <si>
    <t>93/A/2026</t>
  </si>
  <si>
    <t>Gmina Ostrowiec Świętokrzyski</t>
  </si>
  <si>
    <t>Przebudowa drogi gminnej nr 302231T - ul. Marii Konopnickiej w Ostrowcu Świętokrzyskim</t>
  </si>
  <si>
    <t>05.2026 04.2027</t>
  </si>
  <si>
    <t>13/A/2026</t>
  </si>
  <si>
    <t>Gmina Nowa Słupia</t>
  </si>
  <si>
    <t>Rozbudowa drogi gminnej 352085T - ul. Łazy w Nowej Słupi</t>
  </si>
  <si>
    <t>96/A/2026</t>
  </si>
  <si>
    <t>Gmina Brody</t>
  </si>
  <si>
    <t>Przebudowa drogi gminnej nr 313030T ul. Cmentarna w miejscowości Krynki wraz z budową chodnika i oświetlenia</t>
  </si>
  <si>
    <t>03.2026 10.2026</t>
  </si>
  <si>
    <t>56/A/2026</t>
  </si>
  <si>
    <t>Gmina Waśniów</t>
  </si>
  <si>
    <t>Remont drogi Nr 393018T Boksyce - Garbacz</t>
  </si>
  <si>
    <t>05.2026 09.2026</t>
  </si>
  <si>
    <t>95/A/2026</t>
  </si>
  <si>
    <t>Przebudowa drogi gminnej nr 313001T ul. Długa w m. Staw Kunowski wraz z budową chodnika i oświetlenia</t>
  </si>
  <si>
    <t>17/A/2026</t>
  </si>
  <si>
    <t>Gmina Nowiny</t>
  </si>
  <si>
    <t>Przebudowa drogi gminnej w msc. Sitkówka, na działce nr ewid. 51/4, obręb geod. Kowala, gm. Nowiny, woj. świętokrzyskie</t>
  </si>
  <si>
    <t>01.2026 12.2026</t>
  </si>
  <si>
    <t>91/A/2026</t>
  </si>
  <si>
    <t>Rozbudowa drogi gminnej nr 302181T - ul. Sadowej w Ostrowcu Świętokrzyskim</t>
  </si>
  <si>
    <t>49/A/2026</t>
  </si>
  <si>
    <t>Gmina Rytwiany</t>
  </si>
  <si>
    <t>Przebudowa drogi gminnej nr 371064T, ulicy Kościelnej w Strzegomiu</t>
  </si>
  <si>
    <t>58/A/2026</t>
  </si>
  <si>
    <t>Remont drogi nr 393035T w miejscowości Sarnia Zwola</t>
  </si>
  <si>
    <t>170/A/2026</t>
  </si>
  <si>
    <t>Rozbudowa drogi gminnej ul. Polnej w miejscowości Skarżysko Kościelne - etap II</t>
  </si>
  <si>
    <t>06.2026 10.2028</t>
  </si>
  <si>
    <t>162/A/2026</t>
  </si>
  <si>
    <t>Gmina Mirzec</t>
  </si>
  <si>
    <t>Rozbudowa drogi gminnej Nr 347018T Mirzec Korzonek - Mirzec Podkowalów - II etap</t>
  </si>
  <si>
    <t>01.2026 11.2026</t>
  </si>
  <si>
    <t>86/A/2026</t>
  </si>
  <si>
    <t>Budowa drogi gminnej, ul. Dęba Bartka, gm. Zagnańsk</t>
  </si>
  <si>
    <t>03.2026 11.2027</t>
  </si>
  <si>
    <t>196/A/2026</t>
  </si>
  <si>
    <t>Gmina Starachowice</t>
  </si>
  <si>
    <t>Budowa odcinka ul. Wiosennej w Starachowicach</t>
  </si>
  <si>
    <t>50/A/2026</t>
  </si>
  <si>
    <t>Przebudowa drogi gminnej nr 371009T, ulicy Długiej w Rytwianach</t>
  </si>
  <si>
    <t>16/A/2026</t>
  </si>
  <si>
    <t>Gmina Kazimierza Wielka</t>
  </si>
  <si>
    <t>Przebudowa drogi gminnej - ul. Henryka Sienkiewicza w miejscowości Kazimierza Wielka, w km 0+000 do km 0+485, dł. 485 m</t>
  </si>
  <si>
    <t>76/A/2026</t>
  </si>
  <si>
    <t>Budowa odcinka ulicy 11 Listopada w Pińczowie - etap I</t>
  </si>
  <si>
    <t>05.2026 07.2027</t>
  </si>
  <si>
    <t>Gmina Pawłów</t>
  </si>
  <si>
    <t>114/A/2026</t>
  </si>
  <si>
    <t>Gmina Solec-Zdrój</t>
  </si>
  <si>
    <t>Remont drogi gminnej Nr 384010T Kików - Zagaje Kikowskie - (Szklanów) w miejscowości Zagaje Kikowskie od km 1+496 do km 1+979 o długości 483 m oraz w miejscowości Kików od km 1+979 do km 2+346 o długości 367 m</t>
  </si>
  <si>
    <t>06.2026 12.2026</t>
  </si>
  <si>
    <t>164/A/2026</t>
  </si>
  <si>
    <t>Gmina Słupia (Jędrzejowska)</t>
  </si>
  <si>
    <t>Przebudowa drogi gminnej nr 380005T Słupia - Kolonia Kreślina od km 0+115 do km 0+853</t>
  </si>
  <si>
    <t>05.2026 10.2026</t>
  </si>
  <si>
    <t>165/A/2026</t>
  </si>
  <si>
    <t>Przebudowa drogi gminnej nr 380022T Słupia - Osiedle Górka od km 0+000 do km 0+649</t>
  </si>
  <si>
    <t>14/A/2026</t>
  </si>
  <si>
    <t>Rozbudowa drogi gminnej wraz z przepustem - Jeleniów-Majdan (łącznik)</t>
  </si>
  <si>
    <t>109/A/2026</t>
  </si>
  <si>
    <t>Gmina Bodzechów</t>
  </si>
  <si>
    <t>Przebudowa publicznej drogi gminnej nr 310041T ul. Marcinówka w miejscowości Bodzechów w km 0+000 do km 0+488</t>
  </si>
  <si>
    <t>02.2026 07.2026</t>
  </si>
  <si>
    <t>92/A/2026</t>
  </si>
  <si>
    <t>Przebudowa ulicy Migdałowej w Ostrowcu Świętokrzyskim</t>
  </si>
  <si>
    <t>172/A/2026</t>
  </si>
  <si>
    <t>Gmina Sędziszów</t>
  </si>
  <si>
    <t>Remont dogi gminnej nr 376018 T Mierzyn Piołunka</t>
  </si>
  <si>
    <t>205/A/2026</t>
  </si>
  <si>
    <t>Gmina Nowy Korczyn</t>
  </si>
  <si>
    <t>Przebudowa drogi gminnej 353004T Pawłów - Podlesie - Kawęczyn od km 0+000 do km 1+180 długości 1180 mb</t>
  </si>
  <si>
    <t>108/A/2026</t>
  </si>
  <si>
    <t>Remont drogi gminnej nr 310036T od km 0+000 do km 0+874 ul. Szeroka w miejscowości Bodzechów</t>
  </si>
  <si>
    <t>02.2026 08.2026</t>
  </si>
  <si>
    <t>180/A/2026</t>
  </si>
  <si>
    <t>Gmina Wodzisław</t>
  </si>
  <si>
    <t>Przebudowa drogi gminnej nr 398017T ul. Krakowska obręb Świątniki km 0+000 do 0+818</t>
  </si>
  <si>
    <t>136/A/2026</t>
  </si>
  <si>
    <t>Gmina Wiślica</t>
  </si>
  <si>
    <t>Przebudowa drogi wewnętrznej w miejscowości Skotniki Dolne od km 0+000 do km 0+780 dł. 780 mb</t>
  </si>
  <si>
    <t>154/A/2026</t>
  </si>
  <si>
    <t>Gmina Sandomierz</t>
  </si>
  <si>
    <t>Sandomierski</t>
  </si>
  <si>
    <t>Przebudowa ulicy Brzoskwiniowej (dawnej Warzywnej) w Sandomierzu</t>
  </si>
  <si>
    <t>173/A/2026</t>
  </si>
  <si>
    <t>Przebudowa ul. Spółdzielczej w msc. Sędziszów</t>
  </si>
  <si>
    <t>4/A/2026</t>
  </si>
  <si>
    <t>Budowa ulicy łączącej ul. Młyńską z ul. Promyk w Busku - Zdroju</t>
  </si>
  <si>
    <t>05.2026 10.2027</t>
  </si>
  <si>
    <t>106/A/2026</t>
  </si>
  <si>
    <t>Gmina Suchedniów</t>
  </si>
  <si>
    <t>Remont drogi gminnej ulicy Topolowej</t>
  </si>
  <si>
    <t>04.2026 10.2026</t>
  </si>
  <si>
    <t>3/A/2026</t>
  </si>
  <si>
    <t>Budowa ulicy położonej na działce Nr 123/6 (sięgacz od ul. Uzdrowiskowej) obręb ewid. 13 Busko-Zdrój</t>
  </si>
  <si>
    <t>85/A/2026</t>
  </si>
  <si>
    <t>Budowa drogi w msc. Samsonów ul. Rurarnia</t>
  </si>
  <si>
    <t>107/A/2026</t>
  </si>
  <si>
    <t>Remont drogi gminnej nr 310021T od km 0+000 do km 1+380 działka nr ewid. 507/2 w miejscowości Sudół</t>
  </si>
  <si>
    <t>138/A/2026</t>
  </si>
  <si>
    <t>Gmina Wojciechowice</t>
  </si>
  <si>
    <t>Opatowski</t>
  </si>
  <si>
    <t>Remont drogi gminnej Sadłowice Kolonia Nr 004492T od km 0+000 do km 1+350</t>
  </si>
  <si>
    <t>52/A/2026</t>
  </si>
  <si>
    <t xml:space="preserve">Przebudowa drogi powiatowej Nr 1059T Solec-Zdrój - Zagórzany - Ostrowce od km 0+000 do km 0+502 dł. 502 m - ulica Sienkiewicza w Solcu-Zdroju </t>
  </si>
  <si>
    <t>112/A/2026</t>
  </si>
  <si>
    <t>Przebudowa drogi powiatowej Nr 1472T Stąporków - Stara Góra - Furmanów</t>
  </si>
  <si>
    <t>51/A/2026</t>
  </si>
  <si>
    <t>Przebudowa drogi powiatowej Nr 1040T Mozgawa - Koniecmosty - Stary Korczyn od km 18+270 do 20+051 dł. 1781 m w miejscowości Ostrów</t>
  </si>
  <si>
    <t>159/A/2026</t>
  </si>
  <si>
    <t>Rozbudowa drogi powiatowej nr 1904T (stary numer 0252T) na odcinku Komorniki - Rudka</t>
  </si>
  <si>
    <t>110/A/2026</t>
  </si>
  <si>
    <t>Rozbudowa drogi powiatowej Nr 1489T Smyków - Adamów</t>
  </si>
  <si>
    <t>39/A/2026</t>
  </si>
  <si>
    <t>Rozbudowa drogi powiatowej nr 2069T (ul. Kopernika) w Skarżysku-Kamiennej i nr 1759T w Lipowym Polu Skarbowym na odcinku od ul. Rycerskiej do skrzyżowania z drogą powiatową nr 1759T (ul. Wesoła) wraz z przebudową obiektu mostowego</t>
  </si>
  <si>
    <t>03.2026 07.2027</t>
  </si>
  <si>
    <t>54/A/2026</t>
  </si>
  <si>
    <t xml:space="preserve">Przebudowa drogi powiatowej Nr 1002T Chmielnik - Zrecze Małe - Maciejowice - Ruda od 8+444 do km 10+594 dł. 2150 m </t>
  </si>
  <si>
    <t>29/A/2026</t>
  </si>
  <si>
    <t>Remont drogi powiatowej nr 1190T Lubcza - Teodorów odc. Teodorów - Podrózie</t>
  </si>
  <si>
    <t>53/A/2026</t>
  </si>
  <si>
    <t xml:space="preserve">Przebudowa drogi powiatowej Nr 1044T (0082T) Kostki Małe - Oleszki - Wełecz w miejscowości Wełecz od km 5+415 do km 7+285 dł. 1 870 m </t>
  </si>
  <si>
    <t>144/A/2026</t>
  </si>
  <si>
    <t>Przebudowa drogi powiatowej nr 1727T Polanów - Malice w miejscowości Polanów od km 0+337 do km 1+970</t>
  </si>
  <si>
    <t>71/A/2026</t>
  </si>
  <si>
    <t>Przebudowa dróg powiatowych nr 1812T Potok - Grabki Duże od km 0+010 do km 0+340 oraz nr 1267T Chmielnik - Potok - Życiny od km 4+775 do km 5+770 w miejscowości Potok</t>
  </si>
  <si>
    <t>72/A/2026</t>
  </si>
  <si>
    <t>Przebudowa drogi powiatowej nr 1839T Strużki - Szwagrów w miejscowości Tursko Wielkie od km 1+560 do km 2+558</t>
  </si>
  <si>
    <t>160/A/2026</t>
  </si>
  <si>
    <t>147/A/2026</t>
  </si>
  <si>
    <t>Przebudowa drogi powiatowej nr 1711T Goźlice - Przybysławice w miejscowościach Wilkowice, Ossolin od km 2+162 do km 3+537</t>
  </si>
  <si>
    <t>125/A/2026</t>
  </si>
  <si>
    <t>Rozbudowa drogi powiatowej nr 1278T Micigózd - Szczukowice w msc. Podzamcze</t>
  </si>
  <si>
    <t>07.2026 06.2027</t>
  </si>
  <si>
    <t>212/A/2026</t>
  </si>
  <si>
    <t xml:space="preserve">Rozbudowa drogi powiatowej nr 0692T - ul. Zamkowa w Ćmielowie od km 0+158 do km 0+ 634 wraz z rozbiórką istniejącego mostu w km 0+634 i budową nowego obiektu inżynierskiego </t>
  </si>
  <si>
    <t>05.2026 11.2027</t>
  </si>
  <si>
    <t>155/A/2026</t>
  </si>
  <si>
    <t>Przebudowa istniejącej drogi gminnej (DG 374013T) - ulicy Chwałeckiej</t>
  </si>
  <si>
    <t>59/A/2026</t>
  </si>
  <si>
    <t>Gmina Zawichost</t>
  </si>
  <si>
    <t>Przebudowa drogi gminnej ul. Trójca w Zawichoście</t>
  </si>
  <si>
    <t>02.2026 12.2026</t>
  </si>
  <si>
    <t>121/A/2026</t>
  </si>
  <si>
    <t>Konecki</t>
  </si>
  <si>
    <t>Przebudowa drogi gminnej - ul. Wjazdowej w Końskich</t>
  </si>
  <si>
    <t>03.2026 12.2027</t>
  </si>
  <si>
    <t>182/A/2026</t>
  </si>
  <si>
    <t>Gmina Oleśnica</t>
  </si>
  <si>
    <t>Przebudowa drogi łączącej ul. Nadstawie z ul. Wiejską w Oleśnicy</t>
  </si>
  <si>
    <t>245/A/2026</t>
  </si>
  <si>
    <t>Gmina Sobków</t>
  </si>
  <si>
    <t>Przebudowa drogi gminnej Nr 383037T Sokołów Dolny - Sokołów Górny w m. Sokołów Górny</t>
  </si>
  <si>
    <t>36/A/2026</t>
  </si>
  <si>
    <t>Remont drogi gminnej nr 362023T Chybice - Nieczulice - etap IV</t>
  </si>
  <si>
    <t>20/A/2026</t>
  </si>
  <si>
    <t>Gmina Morawica</t>
  </si>
  <si>
    <t>Przebudowa ul. Strusiej w Piasecznej Górce</t>
  </si>
  <si>
    <t>238/A/2026</t>
  </si>
  <si>
    <t>Gmina Raków</t>
  </si>
  <si>
    <t>Przebudowa drogi w miejscowości Kolonia Szumsko</t>
  </si>
  <si>
    <t>197/A/2026</t>
  </si>
  <si>
    <t>Budowa ul. Św. Barbary w Starachowicach</t>
  </si>
  <si>
    <t>88/A/2026</t>
  </si>
  <si>
    <t>Gmina Ćmielów</t>
  </si>
  <si>
    <t xml:space="preserve">Przebudowa ulicy Raciborskiego w miejscowości Ćmielów na odcinku miejskim od km 0+500 do granicy obrębu Brzóstowa stanowiącym drogę gminną nr 318072T oraz na odcinku obszaru wiejskiego od granic obrębu Brzóstowa do km 0+140 stanowiącym drogę gminną wewnętrzną </t>
  </si>
  <si>
    <t>05.2026 12.2026</t>
  </si>
  <si>
    <t>116/A/2026</t>
  </si>
  <si>
    <t>Gmina Skarżysko-Kamienna</t>
  </si>
  <si>
    <t>03.2026 02.2027</t>
  </si>
  <si>
    <t>171/A/2026</t>
  </si>
  <si>
    <t>Remont drogi gminnej nr 376019T Aleksandrów przez wieś</t>
  </si>
  <si>
    <t>178/A/2026</t>
  </si>
  <si>
    <t>Gmina Osiek</t>
  </si>
  <si>
    <t>Remont drogi gminnej w miejscowości Bukowa</t>
  </si>
  <si>
    <t>04.2026 12.2026</t>
  </si>
  <si>
    <t>161/A/2026</t>
  </si>
  <si>
    <t>Rozbudowa drogi gminnej Nr 347025T Mirzec Czerwona - Tychów Nowy</t>
  </si>
  <si>
    <t>130/A/2026</t>
  </si>
  <si>
    <t>Gmina Obrazów</t>
  </si>
  <si>
    <t>Remont drogi gminnej nr 4231012T Żurawica - Żurawica od km 0+000 do km 0+525 oraz drogi gminnej ne 4231013T Lenarczyce - Żurawica od km 0+000 do km 0+565 działka o nr ewid. 263 w miejscowości Żurawica</t>
  </si>
  <si>
    <t>105/A/2026</t>
  </si>
  <si>
    <t>Gmina Jędrzejów</t>
  </si>
  <si>
    <t>Przebudowa drogi gminnej Nr 328001T Piaski - Kopaniny</t>
  </si>
  <si>
    <t>10/A/2026</t>
  </si>
  <si>
    <t>Gmina Czarnocin</t>
  </si>
  <si>
    <t>Przebudowa drogi Dębiany - Krzyż, w km od 0+142 do km 1+140, na dł. 998 mb w miejscowości Dębiany, Gmina Czarnocin</t>
  </si>
  <si>
    <t>134/A/2026</t>
  </si>
  <si>
    <t>Przebudowa drogi gminnej 396011T Skorocice - Aleksandrów od km 0+000 do km 0+990 dł. 990 mb</t>
  </si>
  <si>
    <t>186/A/2026</t>
  </si>
  <si>
    <t>Gmina Smyków</t>
  </si>
  <si>
    <t>Przebudowa drogi gminnej Nr 782010T - Matyniów - Sachalin</t>
  </si>
  <si>
    <t>199/A/2026</t>
  </si>
  <si>
    <t>Gmina Kije</t>
  </si>
  <si>
    <t>Przebudowa drogi gminnej nr 330003T w Kliszowie na odcinku od km 0+000,00 do km 0+900,00</t>
  </si>
  <si>
    <t>07.2026 09.2027</t>
  </si>
  <si>
    <t>67/A/2026</t>
  </si>
  <si>
    <t>Gmina Pacanów</t>
  </si>
  <si>
    <t>Remont drogi gminnej nr 361048T Zborówek Nowy „Zarowie” od km 0+000 do km 0+702</t>
  </si>
  <si>
    <t>183/A/2026</t>
  </si>
  <si>
    <t>Gmina Stąporków</t>
  </si>
  <si>
    <t>Przebudowa drogi gminnej nr 386015T w Błaszkowie</t>
  </si>
  <si>
    <t>04.2026 11.2026</t>
  </si>
  <si>
    <t>15/A/2026</t>
  </si>
  <si>
    <t>Remont drogi gminnej nr 352006T w miejscowości Mirocice</t>
  </si>
  <si>
    <t>137/A/2026</t>
  </si>
  <si>
    <t>Przebudowa drogi gminnej Lisów - Gierczyce Nr 004502T od km 2+544 do km 3+024</t>
  </si>
  <si>
    <t>21/A/2026</t>
  </si>
  <si>
    <t>Przebudowa ul. Skowronkowej w Piasecznej Górce</t>
  </si>
  <si>
    <t>175/A/2026</t>
  </si>
  <si>
    <t>Gmina Iwaniska</t>
  </si>
  <si>
    <t>Remont drogi gminnej o nr 327006T Łopacienko przez wieś Marianów o dł. 375 mb od km 0+000 do km 0+375</t>
  </si>
  <si>
    <t>57/A/2026</t>
  </si>
  <si>
    <t>Remont drogi nr 393024T Sławęcice na długości 345 mb</t>
  </si>
  <si>
    <t>99/A/2026</t>
  </si>
  <si>
    <t>Gmina Secemin</t>
  </si>
  <si>
    <t>Remont drogi gminnej Nr 375011T - Międzylesie do stacji PKP (część I)</t>
  </si>
  <si>
    <t>01.2026 10.2026</t>
  </si>
  <si>
    <t>11/A/2026</t>
  </si>
  <si>
    <t>Gmina Daleszyce</t>
  </si>
  <si>
    <t>Budowa dróg gminnych w msc. Mójcza koło szkoły</t>
  </si>
  <si>
    <t>09.2026 08.2027</t>
  </si>
  <si>
    <t>64/A/2026</t>
  </si>
  <si>
    <t>Gmina Kunów</t>
  </si>
  <si>
    <t>Przebudowa drogi gminnej ulicy Partyzantów w Kunowie</t>
  </si>
  <si>
    <t>75/A/2026</t>
  </si>
  <si>
    <t>Remont ulicy Pałęki w Pińczowie - droga gminna nr 365037T</t>
  </si>
  <si>
    <t>198/A/2026</t>
  </si>
  <si>
    <t>Budowa ulicy Zachodniej w Starachowicach</t>
  </si>
  <si>
    <t>41/A/2026</t>
  </si>
  <si>
    <t>Gmina Klimontów</t>
  </si>
  <si>
    <t>Budowa drogi gminnej w m. Klimontów ul. Słoneczna Etap I</t>
  </si>
  <si>
    <t>117/A/2026</t>
  </si>
  <si>
    <t>Budowa ul. Św. Brata Alberta nr 303197T w Skarżysku-Kamiennej</t>
  </si>
  <si>
    <t>150/A/2026</t>
  </si>
  <si>
    <t>Gmina Staszów</t>
  </si>
  <si>
    <t>Budowa ulicy Rzeszowskiej w Staszowie</t>
  </si>
  <si>
    <t>221/A/2026</t>
  </si>
  <si>
    <t>Gmina Wilczyce</t>
  </si>
  <si>
    <t>Remont drogi gminnej nr 395024T Wilczyce - Podłącze - Gałkowice Ocin w miejscowościach Wilczyce, Łukawa od km 0+328 do km 3+194</t>
  </si>
  <si>
    <t>179/A/2026</t>
  </si>
  <si>
    <t>Remont drogi gminnej Ossala - Niekrasów</t>
  </si>
  <si>
    <t>135/A/2026</t>
  </si>
  <si>
    <t>Przebudowa drogi gminnej nr 396003T Bilczów - Poddębie od km 0+600 do km 1+590, dł. 990 m</t>
  </si>
  <si>
    <t>206/A/2026</t>
  </si>
  <si>
    <t>Gmina Bieliny</t>
  </si>
  <si>
    <t>Remont drogi gminnej nr 308037T Lechów - Łęki od km 0+000 do km 0+930</t>
  </si>
  <si>
    <t>177/A/2026</t>
  </si>
  <si>
    <t>Budowa drogi gminnej łączącej miejscowość Suchowola z miejscowością Wiązownica</t>
  </si>
  <si>
    <t>132/A/2026</t>
  </si>
  <si>
    <t>Gmina Sadowie</t>
  </si>
  <si>
    <t xml:space="preserve">Przebudowa drogi wewnętrznej w msc. Wszechświęte o dł. 580 mb, od km 0+000 do km 0+580 </t>
  </si>
  <si>
    <t>03.2026 08.2026</t>
  </si>
  <si>
    <t>185/A/2026</t>
  </si>
  <si>
    <t>Przebudowa drogi gminnej Nr 382021T - Matyniów - Piaski</t>
  </si>
  <si>
    <t>176/A/2026</t>
  </si>
  <si>
    <t>Remont drogi gminnej o nr 327017T Radwan - Radwanówek o dł. 550 mb od km 0+000 do km 0+550</t>
  </si>
  <si>
    <t>156/A/2026</t>
  </si>
  <si>
    <t>Remont drogi gminnej nr 374021T (ul. Długosza) w Sandomierzu</t>
  </si>
  <si>
    <t>89/A/2026</t>
  </si>
  <si>
    <t>Przebudowa drogi gminnej nr 318105T ul. Marii Konopnickiej w m. Ćmielów od km 0+007,00 do 0+344,35 wraz z przebudową skrzyżowania z ul. Małachowską i odwodnienia oraz przebudową i zabezpieczeniem infrastruktury technicznej</t>
  </si>
  <si>
    <t>35/A/2026</t>
  </si>
  <si>
    <t>Przebudowa drogi gminnej - ul. Jana Piwnika "Ponurego" w Końskich</t>
  </si>
  <si>
    <t>77/A/2026</t>
  </si>
  <si>
    <t>Remont ulicy Floriańskiej w Pińczowie - droga gminna nr 365019T</t>
  </si>
  <si>
    <t>115/A/2026</t>
  </si>
  <si>
    <t>Przebudowa ul. Leśna Polana nr 303066T w Skarżysku-Kamiennej</t>
  </si>
  <si>
    <t>90/A/2026</t>
  </si>
  <si>
    <t>Przebudowa drogi gminnej nr 318103T ul. A. Asnyka w m. Ćmielów na odcinku od KM 0+007,60 do KM 0+168,60 wraz z przebudową skrzyżowania z ul. Małachowską i odwodnienia oraz przebudową i zabezpieczeniem infrastruktury technicznej</t>
  </si>
  <si>
    <t>69/A/2026</t>
  </si>
  <si>
    <t>Gmina Włoszczowa</t>
  </si>
  <si>
    <t>Przebudowa i odwodnienie ul. Bp. Jaworskiego we Włoszczowie</t>
  </si>
  <si>
    <t>174/A/2026</t>
  </si>
  <si>
    <t xml:space="preserve">Remont drogi gminnej o nr 327015T Ujazd - Oparówek o dł. 1325 mb od km 0+000 do km 1+325 </t>
  </si>
  <si>
    <t>129/A/2026</t>
  </si>
  <si>
    <t>Remont drogi gminnej nr 4231003T Komorna - Wincentów od km 0+000 do km 1+056 działka o nr ewid. 92, 173 w miejscowości Komorna</t>
  </si>
  <si>
    <t>12/A/2026</t>
  </si>
  <si>
    <t>Remont drogi gminnej Nr 314039T - Wesoła-Palestyna Gmina Busko-Zdrój</t>
  </si>
  <si>
    <t>219/A/2026</t>
  </si>
  <si>
    <t>Gmina Górno</t>
  </si>
  <si>
    <t>Rozbudowa dróg gminnych w miejscowości Bęczków (ul. Panoramiczna i ul. Górki)</t>
  </si>
  <si>
    <t>01.2026 10.2027</t>
  </si>
  <si>
    <t>139/A/2026</t>
  </si>
  <si>
    <t>Gmina Michałów</t>
  </si>
  <si>
    <t>Remont drogi gminnej Nr 345002T Tomaszów przez wieś od km 2+860 do km 3+750 o długości 890 mb</t>
  </si>
  <si>
    <t>244/A/2026</t>
  </si>
  <si>
    <t>Gmina Samborzec</t>
  </si>
  <si>
    <t>Przebudowa drogi gminnej nr 373002T Kolonia Janowice - Kolonia Faliszowice o dł. 837 mb od km 0+000 do km 0+837</t>
  </si>
  <si>
    <t>131/A/2026</t>
  </si>
  <si>
    <t>Remont drogi gminnej nr 4231022T Święcica - Węgrce od km 0+000 do km 0+825 działka o nr ewid. 272, 150 w miejscowości Święcica</t>
  </si>
  <si>
    <t>45/A/2026</t>
  </si>
  <si>
    <t>Gmina Opatów</t>
  </si>
  <si>
    <t>Remont drogi gminnej nr 358036T Kobylany - Strzyżewice</t>
  </si>
  <si>
    <t>208/A/2026</t>
  </si>
  <si>
    <t>Gmina Szydłów</t>
  </si>
  <si>
    <t>Remont drogi gminnej nr 390004T - ul. Opatowska w Szydłowie od km 4+182 do 4+586</t>
  </si>
  <si>
    <t>237/A/2026</t>
  </si>
  <si>
    <t>Przebudowa ulicy 400-Lecia Rakowa</t>
  </si>
  <si>
    <t>247/A/2026</t>
  </si>
  <si>
    <t>Gmina Łoniów</t>
  </si>
  <si>
    <t>Przebudowa drogi gminnej nr 340019T Świniary - Jasienica od km 0+000 do km 0+300</t>
  </si>
  <si>
    <t>34/A/2026</t>
  </si>
  <si>
    <t>Przebudowa drogi gminnej - ul. Związku Walki Zbrojnej w Końskich</t>
  </si>
  <si>
    <t>220/A/2026</t>
  </si>
  <si>
    <t>Remont drogi gminnej nr 395024T Wilczyce - Podłącze- Gałkowice Ocin w miejscowości Wilczyce od km 0+006 do km 0+257</t>
  </si>
  <si>
    <t>119/A/2026</t>
  </si>
  <si>
    <t>Gmina Gowarczów</t>
  </si>
  <si>
    <t>Przebudowa drogi wewnętrznej w miejscowości Ruda Białaczowska, dz. nr. ewid. 263 i 273</t>
  </si>
  <si>
    <t>03.2026 07.2026</t>
  </si>
  <si>
    <t>120/A/2026</t>
  </si>
  <si>
    <t>Przebudowa drogi wewnętrznej w miejscowości Ruda Białaczowska, dz. nr. ewid. 262</t>
  </si>
  <si>
    <t>55/A/2026</t>
  </si>
  <si>
    <t>Remont drogi gminnej nr 331056T ul. Rynek w Klimontowie</t>
  </si>
  <si>
    <t>43/A/2026</t>
  </si>
  <si>
    <t>Przebudowa ul. Kilińskiego w Zawichoście</t>
  </si>
  <si>
    <t>203/A/2026</t>
  </si>
  <si>
    <t>Gmina Lipnik</t>
  </si>
  <si>
    <t>Remont drogi gminnej nr 337001T Gołębiów Szlachecki - Wesołówka w miejscowości Międzygórz na odcinku 2180 mb od km 0+000 do km 2+180</t>
  </si>
  <si>
    <t>122/A/2026</t>
  </si>
  <si>
    <t>Remont drogi gminnej nr 360037T Suchodółka - Szczury w miejscowości Suchodółka</t>
  </si>
  <si>
    <t>03.2026 12.2026</t>
  </si>
  <si>
    <t>7/A/2026</t>
  </si>
  <si>
    <t>Gmina Bałtów</t>
  </si>
  <si>
    <t>Remont drogi gmmnej 306003T w miejscowości Wólka Bałtowska - Kolonia na odcinku 1091 m</t>
  </si>
  <si>
    <t>02.2026 04.2026</t>
  </si>
  <si>
    <t>38/A/2026</t>
  </si>
  <si>
    <t>Rozbudowa drogi powiatowej nr 1300T w miejscowości Zalezianka - Gmina Łączna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</si>
  <si>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A/RFRD/2026</t>
    </r>
  </si>
  <si>
    <t>Powiat Staszowski</t>
  </si>
  <si>
    <t>Powiat Kazimierski</t>
  </si>
  <si>
    <t>Powiat Sandomierski</t>
  </si>
  <si>
    <t>Powiat Konecki</t>
  </si>
  <si>
    <t>Powiat Włoszczowski</t>
  </si>
  <si>
    <t>Powiat Starachowicki</t>
  </si>
  <si>
    <t>Powiat Buski</t>
  </si>
  <si>
    <t>Powiat Pińczowski</t>
  </si>
  <si>
    <t>ostrowiecki</t>
  </si>
  <si>
    <t>starachowicki</t>
  </si>
  <si>
    <t>staszowski</t>
  </si>
  <si>
    <t>kazimierski</t>
  </si>
  <si>
    <t>jędrzejowski</t>
  </si>
  <si>
    <t>sandomierski</t>
  </si>
  <si>
    <t>włoszczowski</t>
  </si>
  <si>
    <t>Przebudowa ulicy Poziomkowej nr 303106T w Skarżysku-Kamiennej</t>
  </si>
  <si>
    <t>241/A/2026</t>
  </si>
  <si>
    <t>Gmina Łopuszno</t>
  </si>
  <si>
    <t>Kielecki</t>
  </si>
  <si>
    <t>Remont drogi gminnej nr 341052T</t>
  </si>
  <si>
    <t>242/A/2026</t>
  </si>
  <si>
    <t>Przebudowa drogi gminnej nr 373023T Malice - Kolonia Złota - Złota od km 0+000 do km 0+998</t>
  </si>
  <si>
    <t>5/A/2026</t>
  </si>
  <si>
    <t>Ostrowiecki</t>
  </si>
  <si>
    <t>Remont drogi gminnej 306013T w miejscowości Maksymilianów o długości 992 m</t>
  </si>
  <si>
    <t>03.2026 05.2026</t>
  </si>
  <si>
    <t>124/A/2026</t>
  </si>
  <si>
    <t>Przebudowa odcinka drogi wewnętrznej relacji Dębno - Lasocin do parametrów drogi publicznej - gminnej w miejscowości Dębno</t>
  </si>
  <si>
    <t>Przebudowa drogi powiatowej nr 1889T od km 16+264 do km 18+378 na odcinku Świerków - dr. kraj. nr 78 w miejscowości Chlewice</t>
  </si>
  <si>
    <t>06.2026 11.2027</t>
  </si>
  <si>
    <t>74/A/2025</t>
  </si>
  <si>
    <t>Budowa drogi gminnej nr 400003T ul. Borek w Zagnańsku</t>
  </si>
  <si>
    <t>22*</t>
  </si>
  <si>
    <t>13*</t>
  </si>
  <si>
    <t>55*</t>
  </si>
  <si>
    <t>67*</t>
  </si>
  <si>
    <t>Donald Tusk
/dokument podpisany elektronicznie/</t>
  </si>
  <si>
    <t>ZATWIERDZAM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</si>
</sst>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z_ł_-;\-* #,##0.00\ _z_ł_-;_-* &quot;-&quot;??\ _z_ł_-;_-@_-"/>
    <numFmt numFmtId="165" formatCode="#,##0.00\ &quot;zł&quot;"/>
    <numFmt numFmtId="166" formatCode="#,##0.000"/>
    <numFmt numFmtId="167" formatCode="0.000"/>
    <numFmt numFmtId="168" formatCode="#,##0.00_ ;\-#,##0.00\ "/>
  </numFmts>
  <fonts count="3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0"/>
      <color theme="4" tint="-0.499984740745262"/>
      <name val="Times New Roman"/>
      <family val="1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5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9"/>
      <color theme="5"/>
      <name val="Arial"/>
      <family val="2"/>
      <charset val="238"/>
    </font>
    <font>
      <sz val="11"/>
      <color theme="5"/>
      <name val="Calibri"/>
      <family val="2"/>
      <charset val="238"/>
      <scheme val="minor"/>
    </font>
    <font>
      <b/>
      <sz val="9"/>
      <color rgb="FF0070C0"/>
      <name val="Arial"/>
      <family val="2"/>
      <charset val="238"/>
    </font>
    <font>
      <b/>
      <sz val="10"/>
      <color rgb="FF0070C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MS Sans Serif"/>
    </font>
    <font>
      <sz val="9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4" fillId="0" borderId="0"/>
  </cellStyleXfs>
  <cellXfs count="355">
    <xf numFmtId="0" fontId="0" fillId="0" borderId="0" xfId="0"/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4" fontId="0" fillId="0" borderId="0" xfId="0" applyNumberFormat="1" applyAlignment="1">
      <alignment vertical="center"/>
    </xf>
    <xf numFmtId="4" fontId="9" fillId="0" borderId="0" xfId="0" applyNumberFormat="1" applyFont="1"/>
    <xf numFmtId="4" fontId="10" fillId="0" borderId="0" xfId="0" applyNumberFormat="1" applyFont="1"/>
    <xf numFmtId="0" fontId="1" fillId="0" borderId="0" xfId="0" applyFont="1"/>
    <xf numFmtId="4" fontId="10" fillId="0" borderId="0" xfId="0" applyNumberFormat="1" applyFont="1" applyAlignment="1">
      <alignment vertical="top"/>
    </xf>
    <xf numFmtId="0" fontId="3" fillId="0" borderId="0" xfId="0" applyFont="1"/>
    <xf numFmtId="0" fontId="0" fillId="0" borderId="0" xfId="0" applyAlignment="1">
      <alignment vertical="center" wrapText="1" shrinkToFit="1"/>
    </xf>
    <xf numFmtId="0" fontId="14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5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165" fontId="12" fillId="5" borderId="23" xfId="0" applyNumberFormat="1" applyFont="1" applyFill="1" applyBorder="1" applyAlignment="1">
      <alignment vertical="center"/>
    </xf>
    <xf numFmtId="165" fontId="16" fillId="5" borderId="23" xfId="0" applyNumberFormat="1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4" fontId="6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 wrapText="1"/>
    </xf>
    <xf numFmtId="165" fontId="16" fillId="3" borderId="1" xfId="0" applyNumberFormat="1" applyFont="1" applyFill="1" applyBorder="1" applyAlignment="1">
      <alignment vertical="center"/>
    </xf>
    <xf numFmtId="165" fontId="12" fillId="4" borderId="1" xfId="0" applyNumberFormat="1" applyFont="1" applyFill="1" applyBorder="1" applyAlignment="1">
      <alignment vertical="center"/>
    </xf>
    <xf numFmtId="165" fontId="13" fillId="6" borderId="1" xfId="0" applyNumberFormat="1" applyFont="1" applyFill="1" applyBorder="1" applyAlignment="1">
      <alignment vertical="center"/>
    </xf>
    <xf numFmtId="165" fontId="12" fillId="3" borderId="1" xfId="0" applyNumberFormat="1" applyFont="1" applyFill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5" fontId="12" fillId="4" borderId="22" xfId="0" applyNumberFormat="1" applyFont="1" applyFill="1" applyBorder="1" applyAlignment="1">
      <alignment vertical="center"/>
    </xf>
    <xf numFmtId="0" fontId="16" fillId="3" borderId="3" xfId="0" applyFont="1" applyFill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3" fillId="6" borderId="3" xfId="0" applyFont="1" applyFill="1" applyBorder="1" applyAlignment="1">
      <alignment vertical="center"/>
    </xf>
    <xf numFmtId="0" fontId="12" fillId="4" borderId="23" xfId="0" applyFont="1" applyFill="1" applyBorder="1" applyAlignment="1">
      <alignment horizontal="left" vertical="center" indent="2"/>
    </xf>
    <xf numFmtId="165" fontId="16" fillId="3" borderId="2" xfId="0" applyNumberFormat="1" applyFont="1" applyFill="1" applyBorder="1" applyAlignment="1">
      <alignment vertical="center"/>
    </xf>
    <xf numFmtId="165" fontId="12" fillId="3" borderId="2" xfId="0" applyNumberFormat="1" applyFont="1" applyFill="1" applyBorder="1" applyAlignment="1">
      <alignment vertical="center"/>
    </xf>
    <xf numFmtId="165" fontId="12" fillId="4" borderId="2" xfId="0" applyNumberFormat="1" applyFont="1" applyFill="1" applyBorder="1" applyAlignment="1">
      <alignment vertical="center"/>
    </xf>
    <xf numFmtId="165" fontId="13" fillId="6" borderId="2" xfId="0" applyNumberFormat="1" applyFont="1" applyFill="1" applyBorder="1" applyAlignment="1">
      <alignment vertical="center"/>
    </xf>
    <xf numFmtId="0" fontId="10" fillId="0" borderId="21" xfId="0" applyFont="1" applyBorder="1" applyAlignment="1">
      <alignment vertical="center"/>
    </xf>
    <xf numFmtId="165" fontId="16" fillId="3" borderId="3" xfId="0" applyNumberFormat="1" applyFont="1" applyFill="1" applyBorder="1" applyAlignment="1">
      <alignment vertical="center"/>
    </xf>
    <xf numFmtId="165" fontId="12" fillId="3" borderId="3" xfId="0" applyNumberFormat="1" applyFont="1" applyFill="1" applyBorder="1" applyAlignment="1">
      <alignment vertical="center"/>
    </xf>
    <xf numFmtId="165" fontId="12" fillId="4" borderId="3" xfId="0" applyNumberFormat="1" applyFont="1" applyFill="1" applyBorder="1" applyAlignment="1">
      <alignment vertical="center"/>
    </xf>
    <xf numFmtId="165" fontId="13" fillId="6" borderId="3" xfId="0" applyNumberFormat="1" applyFont="1" applyFill="1" applyBorder="1" applyAlignment="1">
      <alignment vertical="center"/>
    </xf>
    <xf numFmtId="165" fontId="13" fillId="5" borderId="23" xfId="0" applyNumberFormat="1" applyFont="1" applyFill="1" applyBorder="1" applyAlignment="1">
      <alignment vertical="center"/>
    </xf>
    <xf numFmtId="0" fontId="10" fillId="0" borderId="2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2" fillId="0" borderId="31" xfId="0" applyFont="1" applyBorder="1" applyAlignment="1">
      <alignment vertical="center"/>
    </xf>
    <xf numFmtId="0" fontId="12" fillId="0" borderId="32" xfId="0" applyFont="1" applyBorder="1" applyAlignment="1">
      <alignment vertical="center"/>
    </xf>
    <xf numFmtId="165" fontId="12" fillId="0" borderId="33" xfId="0" applyNumberFormat="1" applyFont="1" applyBorder="1" applyAlignment="1">
      <alignment vertical="center"/>
    </xf>
    <xf numFmtId="165" fontId="12" fillId="0" borderId="34" xfId="0" applyNumberFormat="1" applyFont="1" applyBorder="1" applyAlignment="1">
      <alignment vertical="center"/>
    </xf>
    <xf numFmtId="165" fontId="12" fillId="5" borderId="35" xfId="0" applyNumberFormat="1" applyFont="1" applyFill="1" applyBorder="1" applyAlignment="1">
      <alignment vertical="center"/>
    </xf>
    <xf numFmtId="165" fontId="12" fillId="0" borderId="32" xfId="0" applyNumberFormat="1" applyFont="1" applyBorder="1" applyAlignment="1">
      <alignment vertical="center"/>
    </xf>
    <xf numFmtId="165" fontId="12" fillId="0" borderId="36" xfId="0" applyNumberFormat="1" applyFont="1" applyBorder="1" applyAlignment="1">
      <alignment vertical="center"/>
    </xf>
    <xf numFmtId="0" fontId="16" fillId="0" borderId="37" xfId="0" applyFont="1" applyBorder="1" applyAlignment="1">
      <alignment horizontal="left" vertical="center" wrapText="1" indent="2"/>
    </xf>
    <xf numFmtId="0" fontId="12" fillId="0" borderId="37" xfId="0" applyFont="1" applyBorder="1" applyAlignment="1">
      <alignment horizontal="left" vertical="center" indent="2"/>
    </xf>
    <xf numFmtId="0" fontId="16" fillId="0" borderId="39" xfId="0" applyFont="1" applyBorder="1" applyAlignment="1">
      <alignment horizontal="left" vertical="center" indent="2"/>
    </xf>
    <xf numFmtId="165" fontId="16" fillId="5" borderId="43" xfId="0" applyNumberFormat="1" applyFont="1" applyFill="1" applyBorder="1" applyAlignment="1">
      <alignment vertical="center"/>
    </xf>
    <xf numFmtId="0" fontId="17" fillId="3" borderId="31" xfId="0" applyFont="1" applyFill="1" applyBorder="1" applyAlignment="1">
      <alignment vertical="center"/>
    </xf>
    <xf numFmtId="0" fontId="17" fillId="3" borderId="32" xfId="0" applyFont="1" applyFill="1" applyBorder="1" applyAlignment="1">
      <alignment vertical="center"/>
    </xf>
    <xf numFmtId="165" fontId="17" fillId="3" borderId="33" xfId="0" applyNumberFormat="1" applyFont="1" applyFill="1" applyBorder="1" applyAlignment="1">
      <alignment vertical="center"/>
    </xf>
    <xf numFmtId="165" fontId="17" fillId="3" borderId="34" xfId="0" applyNumberFormat="1" applyFont="1" applyFill="1" applyBorder="1" applyAlignment="1">
      <alignment vertical="center"/>
    </xf>
    <xf numFmtId="165" fontId="17" fillId="5" borderId="35" xfId="0" applyNumberFormat="1" applyFont="1" applyFill="1" applyBorder="1" applyAlignment="1">
      <alignment vertical="center"/>
    </xf>
    <xf numFmtId="165" fontId="17" fillId="3" borderId="32" xfId="0" applyNumberFormat="1" applyFont="1" applyFill="1" applyBorder="1" applyAlignment="1">
      <alignment vertical="center"/>
    </xf>
    <xf numFmtId="165" fontId="17" fillId="3" borderId="36" xfId="0" applyNumberFormat="1" applyFont="1" applyFill="1" applyBorder="1" applyAlignment="1">
      <alignment vertical="center"/>
    </xf>
    <xf numFmtId="0" fontId="16" fillId="3" borderId="37" xfId="0" applyFont="1" applyFill="1" applyBorder="1" applyAlignment="1">
      <alignment horizontal="left" vertical="center" wrapText="1" indent="2"/>
    </xf>
    <xf numFmtId="165" fontId="16" fillId="3" borderId="38" xfId="0" applyNumberFormat="1" applyFont="1" applyFill="1" applyBorder="1" applyAlignment="1">
      <alignment vertical="center"/>
    </xf>
    <xf numFmtId="0" fontId="12" fillId="3" borderId="37" xfId="0" applyFont="1" applyFill="1" applyBorder="1" applyAlignment="1">
      <alignment horizontal="left" vertical="center" indent="2"/>
    </xf>
    <xf numFmtId="165" fontId="12" fillId="3" borderId="38" xfId="0" applyNumberFormat="1" applyFont="1" applyFill="1" applyBorder="1" applyAlignment="1">
      <alignment vertical="center"/>
    </xf>
    <xf numFmtId="0" fontId="16" fillId="3" borderId="39" xfId="0" applyFont="1" applyFill="1" applyBorder="1" applyAlignment="1">
      <alignment horizontal="left" vertical="center" indent="2"/>
    </xf>
    <xf numFmtId="0" fontId="16" fillId="3" borderId="40" xfId="0" applyFont="1" applyFill="1" applyBorder="1" applyAlignment="1">
      <alignment vertical="center"/>
    </xf>
    <xf numFmtId="165" fontId="16" fillId="3" borderId="41" xfId="0" applyNumberFormat="1" applyFont="1" applyFill="1" applyBorder="1" applyAlignment="1">
      <alignment vertical="center"/>
    </xf>
    <xf numFmtId="165" fontId="16" fillId="3" borderId="42" xfId="0" applyNumberFormat="1" applyFont="1" applyFill="1" applyBorder="1" applyAlignment="1">
      <alignment vertical="center"/>
    </xf>
    <xf numFmtId="165" fontId="16" fillId="3" borderId="40" xfId="0" applyNumberFormat="1" applyFont="1" applyFill="1" applyBorder="1" applyAlignment="1">
      <alignment vertical="center"/>
    </xf>
    <xf numFmtId="165" fontId="16" fillId="3" borderId="44" xfId="0" applyNumberFormat="1" applyFont="1" applyFill="1" applyBorder="1" applyAlignment="1">
      <alignment vertical="center"/>
    </xf>
    <xf numFmtId="0" fontId="16" fillId="4" borderId="25" xfId="0" applyFont="1" applyFill="1" applyBorder="1" applyAlignment="1">
      <alignment horizontal="left" vertical="center" indent="2"/>
    </xf>
    <xf numFmtId="0" fontId="16" fillId="4" borderId="26" xfId="0" applyFont="1" applyFill="1" applyBorder="1" applyAlignment="1">
      <alignment vertical="center"/>
    </xf>
    <xf numFmtId="165" fontId="16" fillId="4" borderId="4" xfId="0" applyNumberFormat="1" applyFont="1" applyFill="1" applyBorder="1" applyAlignment="1">
      <alignment vertical="center"/>
    </xf>
    <xf numFmtId="165" fontId="16" fillId="4" borderId="7" xfId="0" applyNumberFormat="1" applyFont="1" applyFill="1" applyBorder="1" applyAlignment="1">
      <alignment vertical="center"/>
    </xf>
    <xf numFmtId="165" fontId="16" fillId="5" borderId="25" xfId="0" applyNumberFormat="1" applyFont="1" applyFill="1" applyBorder="1" applyAlignment="1">
      <alignment vertical="center"/>
    </xf>
    <xf numFmtId="165" fontId="16" fillId="4" borderId="26" xfId="0" applyNumberFormat="1" applyFont="1" applyFill="1" applyBorder="1" applyAlignment="1">
      <alignment vertical="center"/>
    </xf>
    <xf numFmtId="165" fontId="16" fillId="4" borderId="27" xfId="0" applyNumberFormat="1" applyFont="1" applyFill="1" applyBorder="1" applyAlignment="1">
      <alignment vertical="center"/>
    </xf>
    <xf numFmtId="0" fontId="12" fillId="6" borderId="31" xfId="0" applyFont="1" applyFill="1" applyBorder="1" applyAlignment="1">
      <alignment vertical="center"/>
    </xf>
    <xf numFmtId="0" fontId="13" fillId="6" borderId="32" xfId="0" applyFont="1" applyFill="1" applyBorder="1" applyAlignment="1">
      <alignment vertical="center"/>
    </xf>
    <xf numFmtId="165" fontId="13" fillId="6" borderId="33" xfId="0" applyNumberFormat="1" applyFont="1" applyFill="1" applyBorder="1" applyAlignment="1">
      <alignment vertical="center"/>
    </xf>
    <xf numFmtId="165" fontId="13" fillId="6" borderId="34" xfId="0" applyNumberFormat="1" applyFont="1" applyFill="1" applyBorder="1" applyAlignment="1">
      <alignment vertical="center"/>
    </xf>
    <xf numFmtId="165" fontId="13" fillId="5" borderId="35" xfId="0" applyNumberFormat="1" applyFont="1" applyFill="1" applyBorder="1" applyAlignment="1">
      <alignment vertical="center"/>
    </xf>
    <xf numFmtId="165" fontId="13" fillId="6" borderId="32" xfId="0" applyNumberFormat="1" applyFont="1" applyFill="1" applyBorder="1" applyAlignment="1">
      <alignment vertical="center"/>
    </xf>
    <xf numFmtId="165" fontId="13" fillId="6" borderId="36" xfId="0" applyNumberFormat="1" applyFont="1" applyFill="1" applyBorder="1" applyAlignment="1">
      <alignment vertical="center"/>
    </xf>
    <xf numFmtId="0" fontId="12" fillId="6" borderId="37" xfId="0" applyFont="1" applyFill="1" applyBorder="1" applyAlignment="1">
      <alignment horizontal="left" vertical="center" indent="2"/>
    </xf>
    <xf numFmtId="165" fontId="13" fillId="6" borderId="38" xfId="0" applyNumberFormat="1" applyFont="1" applyFill="1" applyBorder="1" applyAlignment="1">
      <alignment vertical="center"/>
    </xf>
    <xf numFmtId="0" fontId="16" fillId="6" borderId="39" xfId="0" applyFont="1" applyFill="1" applyBorder="1" applyAlignment="1">
      <alignment horizontal="left" vertical="center" indent="2"/>
    </xf>
    <xf numFmtId="0" fontId="16" fillId="6" borderId="40" xfId="0" applyFont="1" applyFill="1" applyBorder="1" applyAlignment="1">
      <alignment vertical="center"/>
    </xf>
    <xf numFmtId="165" fontId="16" fillId="6" borderId="41" xfId="0" applyNumberFormat="1" applyFont="1" applyFill="1" applyBorder="1" applyAlignment="1">
      <alignment vertical="center"/>
    </xf>
    <xf numFmtId="165" fontId="16" fillId="6" borderId="42" xfId="0" applyNumberFormat="1" applyFont="1" applyFill="1" applyBorder="1" applyAlignment="1">
      <alignment vertical="center"/>
    </xf>
    <xf numFmtId="165" fontId="16" fillId="6" borderId="40" xfId="0" applyNumberFormat="1" applyFont="1" applyFill="1" applyBorder="1" applyAlignment="1">
      <alignment vertical="center"/>
    </xf>
    <xf numFmtId="165" fontId="16" fillId="6" borderId="44" xfId="0" applyNumberFormat="1" applyFont="1" applyFill="1" applyBorder="1" applyAlignment="1">
      <alignment vertical="center"/>
    </xf>
    <xf numFmtId="0" fontId="16" fillId="2" borderId="3" xfId="0" applyFont="1" applyFill="1" applyBorder="1" applyAlignment="1">
      <alignment vertical="center"/>
    </xf>
    <xf numFmtId="165" fontId="16" fillId="2" borderId="1" xfId="0" applyNumberFormat="1" applyFont="1" applyFill="1" applyBorder="1" applyAlignment="1">
      <alignment vertical="center"/>
    </xf>
    <xf numFmtId="165" fontId="16" fillId="2" borderId="2" xfId="0" applyNumberFormat="1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165" fontId="12" fillId="2" borderId="1" xfId="0" applyNumberFormat="1" applyFont="1" applyFill="1" applyBorder="1" applyAlignment="1">
      <alignment vertical="center"/>
    </xf>
    <xf numFmtId="165" fontId="12" fillId="2" borderId="2" xfId="0" applyNumberFormat="1" applyFont="1" applyFill="1" applyBorder="1" applyAlignment="1">
      <alignment vertical="center"/>
    </xf>
    <xf numFmtId="0" fontId="16" fillId="2" borderId="40" xfId="0" applyFont="1" applyFill="1" applyBorder="1" applyAlignment="1">
      <alignment vertical="center"/>
    </xf>
    <xf numFmtId="165" fontId="16" fillId="2" borderId="41" xfId="0" applyNumberFormat="1" applyFont="1" applyFill="1" applyBorder="1" applyAlignment="1">
      <alignment vertical="center"/>
    </xf>
    <xf numFmtId="165" fontId="16" fillId="2" borderId="42" xfId="0" applyNumberFormat="1" applyFont="1" applyFill="1" applyBorder="1" applyAlignment="1">
      <alignment vertical="center"/>
    </xf>
    <xf numFmtId="165" fontId="16" fillId="2" borderId="3" xfId="0" applyNumberFormat="1" applyFont="1" applyFill="1" applyBorder="1" applyAlignment="1">
      <alignment vertical="center"/>
    </xf>
    <xf numFmtId="165" fontId="16" fillId="2" borderId="38" xfId="0" applyNumberFormat="1" applyFont="1" applyFill="1" applyBorder="1" applyAlignment="1">
      <alignment vertical="center"/>
    </xf>
    <xf numFmtId="165" fontId="12" fillId="2" borderId="3" xfId="0" applyNumberFormat="1" applyFont="1" applyFill="1" applyBorder="1" applyAlignment="1">
      <alignment vertical="center"/>
    </xf>
    <xf numFmtId="165" fontId="12" fillId="2" borderId="38" xfId="0" applyNumberFormat="1" applyFont="1" applyFill="1" applyBorder="1" applyAlignment="1">
      <alignment vertical="center"/>
    </xf>
    <xf numFmtId="165" fontId="16" fillId="2" borderId="40" xfId="0" applyNumberFormat="1" applyFont="1" applyFill="1" applyBorder="1" applyAlignment="1">
      <alignment vertical="center"/>
    </xf>
    <xf numFmtId="165" fontId="16" fillId="2" borderId="44" xfId="0" applyNumberFormat="1" applyFont="1" applyFill="1" applyBorder="1" applyAlignment="1">
      <alignment vertical="center"/>
    </xf>
    <xf numFmtId="165" fontId="12" fillId="2" borderId="32" xfId="0" applyNumberFormat="1" applyFont="1" applyFill="1" applyBorder="1" applyAlignment="1">
      <alignment vertical="center"/>
    </xf>
    <xf numFmtId="165" fontId="12" fillId="2" borderId="33" xfId="0" applyNumberFormat="1" applyFont="1" applyFill="1" applyBorder="1" applyAlignment="1">
      <alignment vertical="center"/>
    </xf>
    <xf numFmtId="165" fontId="12" fillId="2" borderId="36" xfId="0" applyNumberFormat="1" applyFont="1" applyFill="1" applyBorder="1" applyAlignment="1">
      <alignment vertical="center"/>
    </xf>
    <xf numFmtId="0" fontId="16" fillId="6" borderId="37" xfId="0" applyFont="1" applyFill="1" applyBorder="1" applyAlignment="1">
      <alignment horizontal="left" vertical="center" wrapText="1" indent="2"/>
    </xf>
    <xf numFmtId="0" fontId="16" fillId="6" borderId="29" xfId="0" applyFont="1" applyFill="1" applyBorder="1" applyAlignment="1">
      <alignment vertical="center"/>
    </xf>
    <xf numFmtId="165" fontId="16" fillId="6" borderId="1" xfId="0" applyNumberFormat="1" applyFont="1" applyFill="1" applyBorder="1" applyAlignment="1">
      <alignment vertical="center"/>
    </xf>
    <xf numFmtId="165" fontId="16" fillId="6" borderId="2" xfId="0" applyNumberFormat="1" applyFont="1" applyFill="1" applyBorder="1" applyAlignment="1">
      <alignment vertical="center"/>
    </xf>
    <xf numFmtId="165" fontId="16" fillId="6" borderId="3" xfId="0" applyNumberFormat="1" applyFont="1" applyFill="1" applyBorder="1" applyAlignment="1">
      <alignment vertical="center"/>
    </xf>
    <xf numFmtId="165" fontId="16" fillId="6" borderId="38" xfId="0" applyNumberFormat="1" applyFont="1" applyFill="1" applyBorder="1" applyAlignment="1">
      <alignment vertical="center"/>
    </xf>
    <xf numFmtId="0" fontId="20" fillId="4" borderId="28" xfId="0" applyFont="1" applyFill="1" applyBorder="1" applyAlignment="1">
      <alignment vertical="center"/>
    </xf>
    <xf numFmtId="0" fontId="20" fillId="4" borderId="29" xfId="0" applyFont="1" applyFill="1" applyBorder="1" applyAlignment="1">
      <alignment vertical="center"/>
    </xf>
    <xf numFmtId="165" fontId="20" fillId="4" borderId="5" xfId="0" applyNumberFormat="1" applyFont="1" applyFill="1" applyBorder="1" applyAlignment="1">
      <alignment vertical="center"/>
    </xf>
    <xf numFmtId="165" fontId="20" fillId="4" borderId="8" xfId="0" applyNumberFormat="1" applyFont="1" applyFill="1" applyBorder="1" applyAlignment="1">
      <alignment vertical="center"/>
    </xf>
    <xf numFmtId="165" fontId="20" fillId="5" borderId="28" xfId="0" applyNumberFormat="1" applyFont="1" applyFill="1" applyBorder="1" applyAlignment="1">
      <alignment vertical="center"/>
    </xf>
    <xf numFmtId="165" fontId="20" fillId="4" borderId="29" xfId="0" applyNumberFormat="1" applyFont="1" applyFill="1" applyBorder="1" applyAlignment="1">
      <alignment vertical="center"/>
    </xf>
    <xf numFmtId="165" fontId="20" fillId="4" borderId="30" xfId="0" applyNumberFormat="1" applyFont="1" applyFill="1" applyBorder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4" fontId="22" fillId="0" borderId="1" xfId="0" applyNumberFormat="1" applyFont="1" applyBorder="1" applyAlignment="1">
      <alignment horizontal="right" vertical="center" wrapText="1"/>
    </xf>
    <xf numFmtId="4" fontId="22" fillId="0" borderId="1" xfId="0" applyNumberFormat="1" applyFont="1" applyBorder="1" applyAlignment="1">
      <alignment vertical="center" wrapText="1"/>
    </xf>
    <xf numFmtId="4" fontId="21" fillId="0" borderId="2" xfId="0" applyNumberFormat="1" applyFont="1" applyBorder="1" applyAlignment="1">
      <alignment vertical="center"/>
    </xf>
    <xf numFmtId="4" fontId="21" fillId="0" borderId="1" xfId="0" applyNumberFormat="1" applyFont="1" applyBorder="1" applyAlignment="1">
      <alignment vertical="center" wrapText="1"/>
    </xf>
    <xf numFmtId="0" fontId="21" fillId="7" borderId="2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right" vertical="center" wrapText="1"/>
    </xf>
    <xf numFmtId="9" fontId="6" fillId="2" borderId="1" xfId="0" applyNumberFormat="1" applyFont="1" applyFill="1" applyBorder="1" applyAlignment="1">
      <alignment horizontal="center" vertical="center"/>
    </xf>
    <xf numFmtId="4" fontId="23" fillId="0" borderId="1" xfId="0" applyNumberFormat="1" applyFont="1" applyBorder="1" applyAlignment="1">
      <alignment vertical="center" wrapText="1"/>
    </xf>
    <xf numFmtId="166" fontId="22" fillId="2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9" fontId="22" fillId="2" borderId="1" xfId="0" applyNumberFormat="1" applyFont="1" applyFill="1" applyBorder="1" applyAlignment="1">
      <alignment horizontal="center" vertical="center"/>
    </xf>
    <xf numFmtId="4" fontId="24" fillId="0" borderId="1" xfId="0" applyNumberFormat="1" applyFont="1" applyBorder="1" applyAlignment="1">
      <alignment horizontal="right" vertical="center"/>
    </xf>
    <xf numFmtId="4" fontId="22" fillId="0" borderId="1" xfId="0" applyNumberFormat="1" applyFont="1" applyBorder="1" applyAlignment="1">
      <alignment horizontal="right" vertical="center"/>
    </xf>
    <xf numFmtId="0" fontId="18" fillId="0" borderId="0" xfId="1" applyFont="1" applyAlignment="1">
      <alignment vertical="center"/>
    </xf>
    <xf numFmtId="0" fontId="25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1" fillId="0" borderId="0" xfId="1" applyFont="1" applyAlignment="1">
      <alignment vertical="center"/>
    </xf>
    <xf numFmtId="0" fontId="18" fillId="0" borderId="0" xfId="0" applyFont="1"/>
    <xf numFmtId="0" fontId="25" fillId="0" borderId="0" xfId="0" applyFont="1"/>
    <xf numFmtId="0" fontId="26" fillId="0" borderId="0" xfId="0" applyFont="1"/>
    <xf numFmtId="0" fontId="25" fillId="0" borderId="0" xfId="0" applyFont="1" applyAlignment="1">
      <alignment wrapText="1" shrinkToFit="1"/>
    </xf>
    <xf numFmtId="0" fontId="23" fillId="0" borderId="6" xfId="0" applyFont="1" applyBorder="1" applyAlignment="1">
      <alignment vertical="center" wrapText="1"/>
    </xf>
    <xf numFmtId="0" fontId="25" fillId="0" borderId="0" xfId="0" applyFont="1" applyAlignment="1">
      <alignment vertical="center" wrapText="1" shrinkToFit="1"/>
    </xf>
    <xf numFmtId="4" fontId="21" fillId="8" borderId="5" xfId="0" applyNumberFormat="1" applyFont="1" applyFill="1" applyBorder="1" applyAlignment="1">
      <alignment horizontal="center" vertical="center" wrapText="1"/>
    </xf>
    <xf numFmtId="167" fontId="21" fillId="8" borderId="5" xfId="0" applyNumberFormat="1" applyFont="1" applyFill="1" applyBorder="1" applyAlignment="1">
      <alignment horizontal="center" vertical="center"/>
    </xf>
    <xf numFmtId="168" fontId="21" fillId="8" borderId="2" xfId="5" applyNumberFormat="1" applyFont="1" applyFill="1" applyBorder="1" applyAlignment="1">
      <alignment horizontal="right" vertical="center"/>
    </xf>
    <xf numFmtId="4" fontId="21" fillId="8" borderId="1" xfId="0" applyNumberFormat="1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3" fontId="21" fillId="8" borderId="7" xfId="0" applyNumberFormat="1" applyFont="1" applyFill="1" applyBorder="1" applyAlignment="1" applyProtection="1">
      <alignment horizontal="center" vertical="center"/>
      <protection hidden="1"/>
    </xf>
    <xf numFmtId="0" fontId="27" fillId="0" borderId="1" xfId="0" applyFont="1" applyBorder="1" applyAlignment="1">
      <alignment vertical="center"/>
    </xf>
    <xf numFmtId="4" fontId="18" fillId="8" borderId="7" xfId="0" applyNumberFormat="1" applyFont="1" applyFill="1" applyBorder="1" applyAlignment="1" applyProtection="1">
      <alignment horizontal="center" vertical="center" wrapText="1"/>
      <protection hidden="1"/>
    </xf>
    <xf numFmtId="4" fontId="21" fillId="8" borderId="7" xfId="0" applyNumberFormat="1" applyFont="1" applyFill="1" applyBorder="1" applyAlignment="1" applyProtection="1">
      <alignment horizontal="center" vertical="center" wrapText="1"/>
      <protection hidden="1"/>
    </xf>
    <xf numFmtId="0" fontId="18" fillId="8" borderId="7" xfId="0" applyFont="1" applyFill="1" applyBorder="1" applyAlignment="1" applyProtection="1">
      <alignment horizontal="right" vertical="center" wrapText="1"/>
      <protection hidden="1"/>
    </xf>
    <xf numFmtId="4" fontId="18" fillId="0" borderId="7" xfId="0" applyNumberFormat="1" applyFont="1" applyBorder="1" applyAlignment="1" applyProtection="1">
      <alignment horizontal="center" vertical="center" wrapText="1"/>
      <protection hidden="1"/>
    </xf>
    <xf numFmtId="0" fontId="21" fillId="8" borderId="7" xfId="0" applyFont="1" applyFill="1" applyBorder="1" applyAlignment="1" applyProtection="1">
      <alignment horizontal="right" vertical="center" wrapText="1"/>
      <protection hidden="1"/>
    </xf>
    <xf numFmtId="4" fontId="21" fillId="0" borderId="7" xfId="0" applyNumberFormat="1" applyFont="1" applyBorder="1" applyAlignment="1" applyProtection="1">
      <alignment horizontal="center" vertical="center" wrapText="1"/>
      <protection hidden="1"/>
    </xf>
    <xf numFmtId="167" fontId="18" fillId="0" borderId="7" xfId="0" applyNumberFormat="1" applyFont="1" applyBorder="1" applyAlignment="1" applyProtection="1">
      <alignment horizontal="center" vertical="center" wrapText="1"/>
      <protection hidden="1"/>
    </xf>
    <xf numFmtId="167" fontId="21" fillId="0" borderId="7" xfId="0" applyNumberFormat="1" applyFont="1" applyBorder="1" applyAlignment="1" applyProtection="1">
      <alignment horizontal="center" vertical="center" wrapText="1"/>
      <protection hidden="1"/>
    </xf>
    <xf numFmtId="4" fontId="6" fillId="0" borderId="7" xfId="0" applyNumberFormat="1" applyFont="1" applyBorder="1" applyAlignment="1" applyProtection="1">
      <alignment horizontal="right" vertical="center" wrapText="1"/>
      <protection hidden="1"/>
    </xf>
    <xf numFmtId="4" fontId="6" fillId="8" borderId="7" xfId="0" applyNumberFormat="1" applyFont="1" applyFill="1" applyBorder="1" applyAlignment="1" applyProtection="1">
      <alignment horizontal="right" vertical="center" wrapText="1"/>
      <protection hidden="1"/>
    </xf>
    <xf numFmtId="4" fontId="22" fillId="8" borderId="7" xfId="0" applyNumberFormat="1" applyFont="1" applyFill="1" applyBorder="1" applyAlignment="1" applyProtection="1">
      <alignment horizontal="right" vertical="center" wrapText="1"/>
      <protection hidden="1"/>
    </xf>
    <xf numFmtId="9" fontId="18" fillId="8" borderId="7" xfId="0" applyNumberFormat="1" applyFont="1" applyFill="1" applyBorder="1" applyAlignment="1" applyProtection="1">
      <alignment horizontal="center" vertical="center" wrapText="1"/>
      <protection hidden="1"/>
    </xf>
    <xf numFmtId="9" fontId="21" fillId="8" borderId="7" xfId="0" applyNumberFormat="1" applyFont="1" applyFill="1" applyBorder="1" applyAlignment="1" applyProtection="1">
      <alignment horizontal="center" vertical="center" wrapText="1"/>
      <protection hidden="1"/>
    </xf>
    <xf numFmtId="4" fontId="18" fillId="0" borderId="2" xfId="0" applyNumberFormat="1" applyFont="1" applyBorder="1" applyAlignment="1">
      <alignment vertical="center"/>
    </xf>
    <xf numFmtId="4" fontId="18" fillId="0" borderId="1" xfId="0" applyNumberFormat="1" applyFont="1" applyBorder="1" applyAlignment="1">
      <alignment vertical="center"/>
    </xf>
    <xf numFmtId="4" fontId="21" fillId="0" borderId="1" xfId="0" applyNumberFormat="1" applyFont="1" applyBorder="1" applyAlignment="1">
      <alignment vertical="center"/>
    </xf>
    <xf numFmtId="4" fontId="6" fillId="2" borderId="7" xfId="0" applyNumberFormat="1" applyFont="1" applyFill="1" applyBorder="1" applyAlignment="1" applyProtection="1">
      <alignment horizontal="right" vertical="center" wrapText="1"/>
      <protection hidden="1"/>
    </xf>
    <xf numFmtId="4" fontId="22" fillId="2" borderId="7" xfId="0" applyNumberFormat="1" applyFont="1" applyFill="1" applyBorder="1" applyAlignment="1" applyProtection="1">
      <alignment horizontal="right" vertical="center" wrapText="1"/>
      <protection hidden="1"/>
    </xf>
    <xf numFmtId="4" fontId="21" fillId="0" borderId="1" xfId="0" applyNumberFormat="1" applyFont="1" applyBorder="1" applyAlignment="1">
      <alignment horizontal="right" vertical="center" wrapText="1"/>
    </xf>
    <xf numFmtId="4" fontId="21" fillId="2" borderId="1" xfId="0" applyNumberFormat="1" applyFont="1" applyFill="1" applyBorder="1" applyAlignment="1">
      <alignment horizontal="right" vertical="center" wrapText="1"/>
    </xf>
    <xf numFmtId="3" fontId="26" fillId="8" borderId="7" xfId="0" applyNumberFormat="1" applyFont="1" applyFill="1" applyBorder="1" applyAlignment="1" applyProtection="1">
      <alignment horizontal="center" vertical="center"/>
      <protection hidden="1"/>
    </xf>
    <xf numFmtId="0" fontId="26" fillId="0" borderId="2" xfId="0" applyFont="1" applyBorder="1" applyAlignment="1">
      <alignment horizontal="center" vertical="center" wrapText="1"/>
    </xf>
    <xf numFmtId="4" fontId="26" fillId="8" borderId="7" xfId="0" applyNumberFormat="1" applyFont="1" applyFill="1" applyBorder="1" applyAlignment="1" applyProtection="1">
      <alignment horizontal="center" vertical="center" wrapText="1"/>
      <protection hidden="1"/>
    </xf>
    <xf numFmtId="4" fontId="26" fillId="0" borderId="7" xfId="0" applyNumberFormat="1" applyFont="1" applyBorder="1" applyAlignment="1" applyProtection="1">
      <alignment horizontal="center" vertical="center" wrapText="1"/>
      <protection hidden="1"/>
    </xf>
    <xf numFmtId="4" fontId="28" fillId="2" borderId="7" xfId="0" applyNumberFormat="1" applyFont="1" applyFill="1" applyBorder="1" applyAlignment="1" applyProtection="1">
      <alignment horizontal="right" vertical="center" wrapText="1"/>
      <protection hidden="1"/>
    </xf>
    <xf numFmtId="4" fontId="28" fillId="8" borderId="7" xfId="0" applyNumberFormat="1" applyFont="1" applyFill="1" applyBorder="1" applyAlignment="1" applyProtection="1">
      <alignment horizontal="right" vertical="center" wrapText="1"/>
      <protection hidden="1"/>
    </xf>
    <xf numFmtId="9" fontId="26" fillId="8" borderId="7" xfId="0" applyNumberFormat="1" applyFont="1" applyFill="1" applyBorder="1" applyAlignment="1" applyProtection="1">
      <alignment horizontal="center" vertical="center" wrapText="1"/>
      <protection hidden="1"/>
    </xf>
    <xf numFmtId="4" fontId="26" fillId="0" borderId="2" xfId="0" applyNumberFormat="1" applyFont="1" applyBorder="1" applyAlignment="1">
      <alignment vertical="center"/>
    </xf>
    <xf numFmtId="4" fontId="24" fillId="2" borderId="1" xfId="0" applyNumberFormat="1" applyFont="1" applyFill="1" applyBorder="1" applyAlignment="1">
      <alignment horizontal="right" vertical="center"/>
    </xf>
    <xf numFmtId="4" fontId="18" fillId="0" borderId="1" xfId="0" applyNumberFormat="1" applyFont="1" applyBorder="1" applyAlignment="1">
      <alignment vertical="center" wrapText="1"/>
    </xf>
    <xf numFmtId="0" fontId="19" fillId="0" borderId="5" xfId="0" applyFont="1" applyBorder="1" applyAlignment="1">
      <alignment vertical="center"/>
    </xf>
    <xf numFmtId="3" fontId="18" fillId="8" borderId="7" xfId="0" applyNumberFormat="1" applyFont="1" applyFill="1" applyBorder="1" applyAlignment="1" applyProtection="1">
      <alignment horizontal="center" vertical="center"/>
      <protection hidden="1"/>
    </xf>
    <xf numFmtId="0" fontId="21" fillId="8" borderId="7" xfId="0" applyFont="1" applyFill="1" applyBorder="1" applyAlignment="1" applyProtection="1">
      <alignment horizontal="center" vertical="center" wrapText="1"/>
      <protection hidden="1"/>
    </xf>
    <xf numFmtId="4" fontId="18" fillId="0" borderId="1" xfId="0" applyNumberFormat="1" applyFont="1" applyBorder="1" applyAlignment="1">
      <alignment horizontal="right" vertical="center" wrapText="1"/>
    </xf>
    <xf numFmtId="0" fontId="18" fillId="2" borderId="7" xfId="0" applyFont="1" applyFill="1" applyBorder="1" applyAlignment="1" applyProtection="1">
      <alignment horizontal="center" vertical="center" wrapText="1"/>
      <protection hidden="1"/>
    </xf>
    <xf numFmtId="9" fontId="18" fillId="2" borderId="7" xfId="0" applyNumberFormat="1" applyFont="1" applyFill="1" applyBorder="1" applyAlignment="1" applyProtection="1">
      <alignment horizontal="center" vertical="center" wrapText="1"/>
      <protection hidden="1"/>
    </xf>
    <xf numFmtId="4" fontId="21" fillId="2" borderId="7" xfId="0" applyNumberFormat="1" applyFont="1" applyFill="1" applyBorder="1" applyAlignment="1" applyProtection="1">
      <alignment horizontal="center" vertical="center" wrapText="1"/>
      <protection hidden="1"/>
    </xf>
    <xf numFmtId="0" fontId="21" fillId="2" borderId="7" xfId="0" applyFont="1" applyFill="1" applyBorder="1" applyAlignment="1" applyProtection="1">
      <alignment horizontal="center" vertical="center" wrapText="1"/>
      <protection hidden="1"/>
    </xf>
    <xf numFmtId="9" fontId="21" fillId="2" borderId="7" xfId="0" applyNumberFormat="1" applyFont="1" applyFill="1" applyBorder="1" applyAlignment="1" applyProtection="1">
      <alignment horizontal="center" vertical="center" wrapText="1"/>
      <protection hidden="1"/>
    </xf>
    <xf numFmtId="0" fontId="25" fillId="0" borderId="0" xfId="0" applyFont="1" applyAlignment="1">
      <alignment horizontal="center"/>
    </xf>
    <xf numFmtId="4" fontId="21" fillId="2" borderId="1" xfId="0" applyNumberFormat="1" applyFont="1" applyFill="1" applyBorder="1" applyAlignment="1">
      <alignment vertical="center" wrapText="1"/>
    </xf>
    <xf numFmtId="3" fontId="21" fillId="8" borderId="1" xfId="0" applyNumberFormat="1" applyFont="1" applyFill="1" applyBorder="1" applyAlignment="1">
      <alignment horizontal="center" vertical="center"/>
    </xf>
    <xf numFmtId="0" fontId="21" fillId="8" borderId="2" xfId="0" applyFont="1" applyFill="1" applyBorder="1" applyAlignment="1">
      <alignment horizontal="center" vertical="center" wrapText="1"/>
    </xf>
    <xf numFmtId="4" fontId="21" fillId="8" borderId="8" xfId="0" applyNumberFormat="1" applyFont="1" applyFill="1" applyBorder="1" applyAlignment="1">
      <alignment horizontal="center" vertical="center" wrapText="1"/>
    </xf>
    <xf numFmtId="0" fontId="21" fillId="8" borderId="8" xfId="0" applyFont="1" applyFill="1" applyBorder="1" applyAlignment="1">
      <alignment horizontal="center" vertical="center" wrapText="1"/>
    </xf>
    <xf numFmtId="0" fontId="21" fillId="8" borderId="5" xfId="0" applyFont="1" applyFill="1" applyBorder="1" applyAlignment="1">
      <alignment horizontal="center" vertical="center"/>
    </xf>
    <xf numFmtId="0" fontId="21" fillId="8" borderId="5" xfId="0" applyFont="1" applyFill="1" applyBorder="1" applyAlignment="1">
      <alignment horizontal="center" vertical="center" wrapText="1"/>
    </xf>
    <xf numFmtId="4" fontId="22" fillId="8" borderId="5" xfId="0" applyNumberFormat="1" applyFont="1" applyFill="1" applyBorder="1" applyAlignment="1">
      <alignment horizontal="right" vertical="center" wrapText="1"/>
    </xf>
    <xf numFmtId="4" fontId="22" fillId="8" borderId="2" xfId="0" applyNumberFormat="1" applyFont="1" applyFill="1" applyBorder="1" applyAlignment="1">
      <alignment vertical="center"/>
    </xf>
    <xf numFmtId="4" fontId="22" fillId="8" borderId="1" xfId="0" applyNumberFormat="1" applyFont="1" applyFill="1" applyBorder="1" applyAlignment="1">
      <alignment vertical="center" wrapText="1"/>
    </xf>
    <xf numFmtId="9" fontId="21" fillId="8" borderId="1" xfId="0" applyNumberFormat="1" applyFont="1" applyFill="1" applyBorder="1" applyAlignment="1">
      <alignment horizontal="center" vertical="center"/>
    </xf>
    <xf numFmtId="4" fontId="21" fillId="8" borderId="2" xfId="0" applyNumberFormat="1" applyFont="1" applyFill="1" applyBorder="1" applyAlignment="1">
      <alignment vertical="center"/>
    </xf>
    <xf numFmtId="167" fontId="21" fillId="8" borderId="7" xfId="0" applyNumberFormat="1" applyFont="1" applyFill="1" applyBorder="1" applyAlignment="1" applyProtection="1">
      <alignment horizontal="center" vertical="center" wrapText="1"/>
      <protection hidden="1"/>
    </xf>
    <xf numFmtId="4" fontId="18" fillId="2" borderId="1" xfId="0" applyNumberFormat="1" applyFont="1" applyFill="1" applyBorder="1" applyAlignment="1">
      <alignment horizontal="right" vertical="center" wrapText="1"/>
    </xf>
    <xf numFmtId="4" fontId="18" fillId="7" borderId="1" xfId="0" applyNumberFormat="1" applyFont="1" applyFill="1" applyBorder="1" applyAlignment="1">
      <alignment horizontal="right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3" fontId="18" fillId="2" borderId="7" xfId="0" applyNumberFormat="1" applyFont="1" applyFill="1" applyBorder="1" applyAlignment="1" applyProtection="1">
      <alignment horizontal="center" vertical="center"/>
      <protection hidden="1"/>
    </xf>
    <xf numFmtId="0" fontId="18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4" fontId="25" fillId="0" borderId="0" xfId="0" applyNumberFormat="1" applyFont="1"/>
    <xf numFmtId="4" fontId="25" fillId="0" borderId="0" xfId="0" applyNumberFormat="1" applyFont="1" applyAlignment="1">
      <alignment vertical="center"/>
    </xf>
    <xf numFmtId="3" fontId="18" fillId="8" borderId="7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1" xfId="0" applyFont="1" applyBorder="1" applyAlignment="1">
      <alignment horizontal="center" vertical="center"/>
    </xf>
    <xf numFmtId="0" fontId="26" fillId="8" borderId="7" xfId="0" applyFont="1" applyFill="1" applyBorder="1" applyAlignment="1" applyProtection="1">
      <alignment horizontal="right" vertical="center" wrapText="1"/>
      <protection hidden="1"/>
    </xf>
    <xf numFmtId="167" fontId="26" fillId="0" borderId="7" xfId="0" applyNumberFormat="1" applyFont="1" applyBorder="1" applyAlignment="1" applyProtection="1">
      <alignment horizontal="center" vertical="center" wrapText="1"/>
      <protection hidden="1"/>
    </xf>
    <xf numFmtId="4" fontId="26" fillId="0" borderId="1" xfId="0" applyNumberFormat="1" applyFont="1" applyBorder="1" applyAlignment="1">
      <alignment vertical="center"/>
    </xf>
    <xf numFmtId="4" fontId="26" fillId="0" borderId="1" xfId="0" applyNumberFormat="1" applyFont="1" applyBorder="1" applyAlignment="1">
      <alignment horizontal="right" vertical="center" wrapText="1"/>
    </xf>
    <xf numFmtId="4" fontId="26" fillId="2" borderId="1" xfId="0" applyNumberFormat="1" applyFont="1" applyFill="1" applyBorder="1" applyAlignment="1">
      <alignment horizontal="right" vertical="center" wrapText="1"/>
    </xf>
    <xf numFmtId="0" fontId="29" fillId="0" borderId="0" xfId="0" applyFont="1"/>
    <xf numFmtId="3" fontId="18" fillId="2" borderId="7" xfId="0" applyNumberFormat="1" applyFont="1" applyFill="1" applyBorder="1" applyAlignment="1" applyProtection="1">
      <alignment horizontal="center" vertical="center" wrapText="1"/>
      <protection hidden="1"/>
    </xf>
    <xf numFmtId="3" fontId="21" fillId="2" borderId="7" xfId="0" applyNumberFormat="1" applyFont="1" applyFill="1" applyBorder="1" applyAlignment="1" applyProtection="1">
      <alignment horizontal="center" vertical="center"/>
      <protection hidden="1"/>
    </xf>
    <xf numFmtId="4" fontId="22" fillId="0" borderId="7" xfId="0" applyNumberFormat="1" applyFont="1" applyBorder="1" applyAlignment="1" applyProtection="1">
      <alignment horizontal="right" vertical="center" wrapText="1"/>
      <protection hidden="1"/>
    </xf>
    <xf numFmtId="0" fontId="26" fillId="0" borderId="1" xfId="0" applyFont="1" applyBorder="1" applyAlignment="1">
      <alignment horizontal="center" vertical="center" wrapText="1"/>
    </xf>
    <xf numFmtId="3" fontId="26" fillId="2" borderId="7" xfId="0" applyNumberFormat="1" applyFont="1" applyFill="1" applyBorder="1" applyAlignment="1" applyProtection="1">
      <alignment horizontal="center" vertical="center"/>
      <protection hidden="1"/>
    </xf>
    <xf numFmtId="0" fontId="26" fillId="2" borderId="7" xfId="0" applyFont="1" applyFill="1" applyBorder="1" applyAlignment="1" applyProtection="1">
      <alignment horizontal="center" vertical="center" wrapText="1"/>
      <protection hidden="1"/>
    </xf>
    <xf numFmtId="9" fontId="26" fillId="2" borderId="7" xfId="0" applyNumberFormat="1" applyFont="1" applyFill="1" applyBorder="1" applyAlignment="1" applyProtection="1">
      <alignment horizontal="center" vertical="center" wrapText="1"/>
      <protection hidden="1"/>
    </xf>
    <xf numFmtId="4" fontId="26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vertical="center"/>
    </xf>
    <xf numFmtId="0" fontId="26" fillId="0" borderId="7" xfId="0" applyFont="1" applyBorder="1" applyAlignment="1">
      <alignment horizontal="center" vertical="center" wrapText="1"/>
    </xf>
    <xf numFmtId="3" fontId="26" fillId="8" borderId="7" xfId="0" applyNumberFormat="1" applyFont="1" applyFill="1" applyBorder="1" applyAlignment="1" applyProtection="1">
      <alignment horizontal="center" vertical="center" wrapText="1"/>
      <protection hidden="1"/>
    </xf>
    <xf numFmtId="0" fontId="32" fillId="0" borderId="0" xfId="0" applyFont="1"/>
    <xf numFmtId="0" fontId="15" fillId="0" borderId="0" xfId="0" applyFont="1" applyAlignment="1">
      <alignment horizontal="center" vertical="center"/>
    </xf>
    <xf numFmtId="9" fontId="15" fillId="0" borderId="0" xfId="2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0" fontId="15" fillId="0" borderId="0" xfId="0" applyFont="1"/>
    <xf numFmtId="0" fontId="26" fillId="0" borderId="1" xfId="0" applyFont="1" applyFill="1" applyBorder="1" applyAlignment="1">
      <alignment horizontal="center" vertical="center" wrapText="1"/>
    </xf>
    <xf numFmtId="3" fontId="26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2" xfId="0" applyFont="1" applyFill="1" applyBorder="1" applyAlignment="1">
      <alignment horizontal="center" vertical="center" wrapText="1"/>
    </xf>
    <xf numFmtId="4" fontId="26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7" xfId="0" applyFont="1" applyFill="1" applyBorder="1" applyAlignment="1" applyProtection="1">
      <alignment horizontal="center" vertical="center" wrapText="1"/>
      <protection hidden="1"/>
    </xf>
    <xf numFmtId="0" fontId="26" fillId="0" borderId="7" xfId="0" applyFont="1" applyFill="1" applyBorder="1" applyAlignment="1">
      <alignment horizontal="center" vertical="center" wrapText="1"/>
    </xf>
    <xf numFmtId="167" fontId="26" fillId="0" borderId="7" xfId="0" applyNumberFormat="1" applyFont="1" applyFill="1" applyBorder="1" applyAlignment="1" applyProtection="1">
      <alignment horizontal="center" vertical="center" wrapText="1"/>
      <protection hidden="1"/>
    </xf>
    <xf numFmtId="4" fontId="28" fillId="0" borderId="7" xfId="0" applyNumberFormat="1" applyFont="1" applyFill="1" applyBorder="1" applyAlignment="1" applyProtection="1">
      <alignment horizontal="right" vertical="center" wrapText="1"/>
      <protection hidden="1"/>
    </xf>
    <xf numFmtId="9" fontId="26" fillId="0" borderId="7" xfId="0" applyNumberFormat="1" applyFont="1" applyFill="1" applyBorder="1" applyAlignment="1" applyProtection="1">
      <alignment horizontal="center" vertical="center" wrapText="1"/>
      <protection hidden="1"/>
    </xf>
    <xf numFmtId="4" fontId="26" fillId="0" borderId="2" xfId="0" applyNumberFormat="1" applyFont="1" applyFill="1" applyBorder="1" applyAlignment="1">
      <alignment vertical="center"/>
    </xf>
    <xf numFmtId="4" fontId="26" fillId="0" borderId="1" xfId="0" applyNumberFormat="1" applyFont="1" applyFill="1" applyBorder="1" applyAlignment="1">
      <alignment vertical="center" wrapText="1"/>
    </xf>
    <xf numFmtId="4" fontId="26" fillId="0" borderId="1" xfId="0" applyNumberFormat="1" applyFont="1" applyFill="1" applyBorder="1" applyAlignment="1">
      <alignment horizontal="right" vertical="center" wrapText="1"/>
    </xf>
    <xf numFmtId="4" fontId="28" fillId="0" borderId="1" xfId="0" applyNumberFormat="1" applyFont="1" applyFill="1" applyBorder="1" applyAlignment="1">
      <alignment vertical="center" wrapText="1"/>
    </xf>
    <xf numFmtId="0" fontId="28" fillId="0" borderId="1" xfId="0" applyFont="1" applyBorder="1" applyAlignment="1">
      <alignment horizontal="right" vertical="center" wrapText="1"/>
    </xf>
    <xf numFmtId="0" fontId="22" fillId="0" borderId="1" xfId="0" applyFont="1" applyBorder="1" applyAlignment="1">
      <alignment horizontal="right" vertical="center" wrapText="1"/>
    </xf>
    <xf numFmtId="4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26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0" fontId="21" fillId="2" borderId="2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22" fillId="0" borderId="1" xfId="0" applyNumberFormat="1" applyFont="1" applyBorder="1" applyAlignment="1">
      <alignment horizontal="center" vertical="center" wrapText="1"/>
    </xf>
    <xf numFmtId="3" fontId="28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 vertical="center" wrapText="1"/>
    </xf>
    <xf numFmtId="1" fontId="31" fillId="0" borderId="1" xfId="0" applyNumberFormat="1" applyFont="1" applyBorder="1" applyAlignment="1">
      <alignment horizontal="center" vertical="center"/>
    </xf>
    <xf numFmtId="1" fontId="33" fillId="0" borderId="1" xfId="0" applyNumberFormat="1" applyFont="1" applyBorder="1" applyAlignment="1">
      <alignment horizontal="center" vertical="center"/>
    </xf>
    <xf numFmtId="3" fontId="30" fillId="0" borderId="1" xfId="0" applyNumberFormat="1" applyFont="1" applyBorder="1" applyAlignment="1">
      <alignment horizontal="center" vertical="center" wrapText="1"/>
    </xf>
    <xf numFmtId="1" fontId="30" fillId="0" borderId="1" xfId="0" applyNumberFormat="1" applyFont="1" applyBorder="1" applyAlignment="1">
      <alignment horizontal="center" vertical="center" wrapText="1"/>
    </xf>
    <xf numFmtId="0" fontId="18" fillId="8" borderId="7" xfId="0" applyFont="1" applyFill="1" applyBorder="1" applyAlignment="1" applyProtection="1">
      <alignment horizontal="center" vertical="center" wrapText="1"/>
      <protection hidden="1"/>
    </xf>
    <xf numFmtId="0" fontId="26" fillId="8" borderId="7" xfId="0" applyFont="1" applyFill="1" applyBorder="1" applyAlignment="1" applyProtection="1">
      <alignment horizontal="center" vertical="center" wrapText="1"/>
      <protection hidden="1"/>
    </xf>
    <xf numFmtId="4" fontId="21" fillId="2" borderId="1" xfId="0" applyNumberFormat="1" applyFont="1" applyFill="1" applyBorder="1" applyAlignment="1">
      <alignment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center" vertical="center"/>
      <protection hidden="1"/>
    </xf>
    <xf numFmtId="0" fontId="35" fillId="0" borderId="2" xfId="0" applyFont="1" applyFill="1" applyBorder="1" applyAlignment="1">
      <alignment horizontal="center" vertical="center" wrapText="1"/>
    </xf>
    <xf numFmtId="4" fontId="35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35" fillId="0" borderId="7" xfId="0" applyFont="1" applyFill="1" applyBorder="1" applyAlignment="1" applyProtection="1">
      <alignment horizontal="center" vertical="center" wrapText="1"/>
      <protection hidden="1"/>
    </xf>
    <xf numFmtId="0" fontId="35" fillId="0" borderId="7" xfId="0" applyFont="1" applyFill="1" applyBorder="1" applyAlignment="1">
      <alignment horizontal="center" vertical="center" wrapText="1"/>
    </xf>
    <xf numFmtId="167" fontId="35" fillId="0" borderId="7" xfId="0" applyNumberFormat="1" applyFont="1" applyFill="1" applyBorder="1" applyAlignment="1" applyProtection="1">
      <alignment horizontal="center" vertical="center" wrapText="1"/>
      <protection hidden="1"/>
    </xf>
    <xf numFmtId="4" fontId="24" fillId="0" borderId="7" xfId="0" applyNumberFormat="1" applyFont="1" applyFill="1" applyBorder="1" applyAlignment="1" applyProtection="1">
      <alignment horizontal="right" vertical="center" wrapText="1"/>
      <protection hidden="1"/>
    </xf>
    <xf numFmtId="9" fontId="35" fillId="0" borderId="7" xfId="0" applyNumberFormat="1" applyFont="1" applyFill="1" applyBorder="1" applyAlignment="1" applyProtection="1">
      <alignment horizontal="center" vertical="center" wrapText="1"/>
      <protection hidden="1"/>
    </xf>
    <xf numFmtId="4" fontId="35" fillId="0" borderId="2" xfId="0" applyNumberFormat="1" applyFont="1" applyFill="1" applyBorder="1" applyAlignment="1">
      <alignment vertical="center"/>
    </xf>
    <xf numFmtId="4" fontId="35" fillId="0" borderId="1" xfId="0" applyNumberFormat="1" applyFont="1" applyFill="1" applyBorder="1" applyAlignment="1">
      <alignment vertical="center" wrapText="1"/>
    </xf>
    <xf numFmtId="4" fontId="35" fillId="0" borderId="1" xfId="0" applyNumberFormat="1" applyFont="1" applyFill="1" applyBorder="1" applyAlignment="1">
      <alignment horizontal="right" vertical="center" wrapText="1"/>
    </xf>
    <xf numFmtId="0" fontId="24" fillId="0" borderId="1" xfId="0" applyFont="1" applyFill="1" applyBorder="1" applyAlignment="1">
      <alignment horizontal="right" vertical="center" wrapText="1"/>
    </xf>
    <xf numFmtId="1" fontId="24" fillId="0" borderId="1" xfId="0" applyNumberFormat="1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center" vertical="center" wrapText="1"/>
      <protection hidden="1"/>
    </xf>
    <xf numFmtId="4" fontId="35" fillId="0" borderId="1" xfId="0" applyNumberFormat="1" applyFont="1" applyFill="1" applyBorder="1" applyAlignment="1">
      <alignment vertical="center"/>
    </xf>
    <xf numFmtId="0" fontId="24" fillId="0" borderId="1" xfId="0" applyFont="1" applyFill="1" applyBorder="1" applyAlignment="1">
      <alignment vertical="center" wrapText="1"/>
    </xf>
    <xf numFmtId="3" fontId="24" fillId="0" borderId="1" xfId="0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 shrinkToFit="1"/>
    </xf>
    <xf numFmtId="0" fontId="24" fillId="0" borderId="1" xfId="0" applyFont="1" applyBorder="1" applyAlignment="1">
      <alignment horizontal="center" vertical="center" wrapText="1" shrinkToFi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</cellXfs>
  <cellStyles count="7">
    <cellStyle name="Dziesiętny" xfId="5" builtinId="3"/>
    <cellStyle name="Dziesiętny 2" xfId="4"/>
    <cellStyle name="Normalny" xfId="0" builtinId="0"/>
    <cellStyle name="Normalny 2" xfId="3"/>
    <cellStyle name="Normalny 3" xfId="1"/>
    <cellStyle name="Normalny 4" xfId="6"/>
    <cellStyle name="Procentowy 2" xfId="2"/>
  </cellStyles>
  <dxfs count="10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A0000"/>
        </patternFill>
      </fill>
    </dxf>
    <dxf>
      <fill>
        <patternFill>
          <bgColor rgb="FFED7D31"/>
        </patternFill>
      </fill>
    </dxf>
    <dxf>
      <fill>
        <patternFill>
          <bgColor rgb="FFFFD966"/>
        </patternFill>
      </fill>
    </dxf>
    <dxf>
      <fill>
        <patternFill>
          <bgColor rgb="FFFFD966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Z44"/>
  <sheetViews>
    <sheetView tabSelected="1" view="pageBreakPreview" zoomScale="90" zoomScaleNormal="100" zoomScaleSheetLayoutView="90" workbookViewId="0">
      <selection activeCell="P4" sqref="P4"/>
    </sheetView>
  </sheetViews>
  <sheetFormatPr defaultColWidth="9.140625" defaultRowHeight="15" x14ac:dyDescent="0.25"/>
  <cols>
    <col min="1" max="1" width="35.140625" style="9" customWidth="1"/>
    <col min="2" max="2" width="10.7109375" style="9" customWidth="1"/>
    <col min="3" max="5" width="20.7109375" style="9" customWidth="1"/>
    <col min="6" max="17" width="15.7109375" style="9" customWidth="1"/>
    <col min="18" max="18" width="9.140625" style="9"/>
    <col min="19" max="19" width="11.7109375" style="9" bestFit="1" customWidth="1"/>
  </cols>
  <sheetData>
    <row r="1" spans="1:26" s="5" customFormat="1" ht="30" customHeight="1" thickBot="1" x14ac:dyDescent="0.35">
      <c r="A1" s="2" t="s">
        <v>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</row>
    <row r="2" spans="1:26" x14ac:dyDescent="0.25">
      <c r="A2" s="6"/>
      <c r="B2" s="6"/>
      <c r="C2" s="6"/>
      <c r="D2" s="6"/>
      <c r="E2" s="6"/>
      <c r="F2" s="319" t="s">
        <v>515</v>
      </c>
      <c r="G2" s="320"/>
      <c r="H2" s="320"/>
      <c r="I2" s="320"/>
      <c r="J2" s="320"/>
      <c r="K2" s="320"/>
      <c r="L2" s="320"/>
      <c r="M2" s="320"/>
      <c r="N2" s="321"/>
      <c r="O2" s="6"/>
      <c r="P2" s="6"/>
      <c r="Q2" s="6"/>
      <c r="R2" s="6"/>
      <c r="S2" s="6"/>
      <c r="T2" s="7"/>
      <c r="U2" s="7"/>
      <c r="V2" s="7"/>
      <c r="W2" s="7"/>
      <c r="X2" s="7"/>
      <c r="Y2" s="7"/>
      <c r="Z2" s="7"/>
    </row>
    <row r="3" spans="1:26" x14ac:dyDescent="0.25">
      <c r="A3" s="8"/>
      <c r="B3" s="6"/>
      <c r="C3" s="6"/>
      <c r="D3" s="6"/>
      <c r="E3" s="6"/>
      <c r="F3" s="322"/>
      <c r="G3" s="323"/>
      <c r="H3" s="323"/>
      <c r="I3" s="323"/>
      <c r="J3" s="323"/>
      <c r="K3" s="323"/>
      <c r="L3" s="323"/>
      <c r="M3" s="323"/>
      <c r="N3" s="324"/>
      <c r="Z3" s="7"/>
    </row>
    <row r="4" spans="1:26" x14ac:dyDescent="0.25">
      <c r="A4" s="10" t="s">
        <v>477</v>
      </c>
      <c r="B4" s="6"/>
      <c r="C4" s="6"/>
      <c r="D4" s="6"/>
      <c r="E4" s="6"/>
      <c r="F4" s="322"/>
      <c r="G4" s="323"/>
      <c r="H4" s="323"/>
      <c r="I4" s="323"/>
      <c r="J4" s="323"/>
      <c r="K4" s="323"/>
      <c r="L4" s="323"/>
      <c r="M4" s="323"/>
      <c r="N4" s="324"/>
      <c r="Z4" s="11"/>
    </row>
    <row r="5" spans="1:26" x14ac:dyDescent="0.25">
      <c r="A5" s="6"/>
      <c r="B5" s="6"/>
      <c r="C5" s="6"/>
      <c r="D5" s="6"/>
      <c r="E5" s="6"/>
      <c r="F5" s="322"/>
      <c r="G5" s="323"/>
      <c r="H5" s="323"/>
      <c r="I5" s="323"/>
      <c r="J5" s="323"/>
      <c r="K5" s="323"/>
      <c r="L5" s="323"/>
      <c r="M5" s="323"/>
      <c r="N5" s="324"/>
      <c r="Z5" s="7"/>
    </row>
    <row r="6" spans="1:26" x14ac:dyDescent="0.25">
      <c r="A6" s="10" t="s">
        <v>56</v>
      </c>
      <c r="B6" s="6"/>
      <c r="C6" s="6"/>
      <c r="D6" s="6"/>
      <c r="E6" s="6"/>
      <c r="F6" s="322"/>
      <c r="G6" s="323"/>
      <c r="H6" s="323"/>
      <c r="I6" s="323"/>
      <c r="J6" s="323"/>
      <c r="K6" s="323"/>
      <c r="L6" s="323"/>
      <c r="M6" s="323"/>
      <c r="N6" s="324"/>
      <c r="Z6" s="11"/>
    </row>
    <row r="7" spans="1:26" ht="30.75" customHeight="1" thickBot="1" x14ac:dyDescent="0.3">
      <c r="A7" s="6"/>
      <c r="B7" s="6"/>
      <c r="C7" s="6"/>
      <c r="D7" s="6"/>
      <c r="E7" s="6"/>
      <c r="F7" s="354" t="s">
        <v>514</v>
      </c>
      <c r="G7" s="325"/>
      <c r="H7" s="325"/>
      <c r="I7" s="325"/>
      <c r="J7" s="325"/>
      <c r="K7" s="325"/>
      <c r="L7" s="325"/>
      <c r="M7" s="325"/>
      <c r="N7" s="326"/>
      <c r="Z7" s="7"/>
    </row>
    <row r="8" spans="1:26" x14ac:dyDescent="0.25">
      <c r="A8" s="6"/>
      <c r="B8" s="6"/>
      <c r="C8" s="6"/>
      <c r="D8" s="6"/>
      <c r="E8" s="6"/>
      <c r="F8" s="12"/>
      <c r="G8" s="12"/>
      <c r="H8" s="12"/>
      <c r="I8" s="12"/>
      <c r="J8" s="12"/>
      <c r="K8" s="12"/>
      <c r="L8" s="12"/>
      <c r="M8" s="12"/>
      <c r="N8" s="12"/>
      <c r="Z8" s="7"/>
    </row>
    <row r="9" spans="1:26" ht="20.100000000000001" customHeight="1" thickBot="1" x14ac:dyDescent="0.3">
      <c r="A9" s="10" t="s">
        <v>0</v>
      </c>
      <c r="B9" s="6"/>
      <c r="C9" s="6"/>
      <c r="D9" s="6"/>
      <c r="E9" s="6"/>
      <c r="F9" s="12"/>
      <c r="G9" s="12"/>
      <c r="H9" s="12"/>
      <c r="I9" s="12"/>
      <c r="J9" s="12"/>
      <c r="K9" s="12"/>
      <c r="L9" s="12"/>
      <c r="M9" s="12"/>
      <c r="N9" s="12"/>
      <c r="Z9" s="7"/>
    </row>
    <row r="10" spans="1:26" ht="20.100000000000001" customHeight="1" x14ac:dyDescent="0.25">
      <c r="A10" s="327" t="s">
        <v>1</v>
      </c>
      <c r="B10" s="329" t="s">
        <v>33</v>
      </c>
      <c r="C10" s="331" t="s">
        <v>18</v>
      </c>
      <c r="D10" s="333" t="s">
        <v>19</v>
      </c>
      <c r="E10" s="335" t="s">
        <v>20</v>
      </c>
      <c r="F10" s="51"/>
      <c r="G10" s="38"/>
      <c r="H10" s="39"/>
      <c r="I10" s="38"/>
      <c r="J10" s="39" t="s">
        <v>12</v>
      </c>
      <c r="K10" s="38"/>
      <c r="L10" s="38"/>
      <c r="M10" s="38"/>
      <c r="N10" s="39"/>
      <c r="O10" s="39"/>
      <c r="P10" s="39"/>
      <c r="Q10" s="40"/>
      <c r="Z10" s="7"/>
    </row>
    <row r="11" spans="1:26" s="1" customFormat="1" ht="20.100000000000001" customHeight="1" thickBot="1" x14ac:dyDescent="0.3">
      <c r="A11" s="328"/>
      <c r="B11" s="330"/>
      <c r="C11" s="332"/>
      <c r="D11" s="334"/>
      <c r="E11" s="336"/>
      <c r="F11" s="57">
        <v>2019</v>
      </c>
      <c r="G11" s="58">
        <v>2020</v>
      </c>
      <c r="H11" s="58">
        <v>2021</v>
      </c>
      <c r="I11" s="58">
        <v>2022</v>
      </c>
      <c r="J11" s="58">
        <v>2023</v>
      </c>
      <c r="K11" s="58">
        <v>2024</v>
      </c>
      <c r="L11" s="58">
        <v>2025</v>
      </c>
      <c r="M11" s="58">
        <v>2026</v>
      </c>
      <c r="N11" s="58">
        <v>2027</v>
      </c>
      <c r="O11" s="58">
        <v>2028</v>
      </c>
      <c r="P11" s="58">
        <v>2029</v>
      </c>
      <c r="Q11" s="59">
        <v>2030</v>
      </c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39.950000000000003" customHeight="1" thickTop="1" x14ac:dyDescent="0.25">
      <c r="A12" s="60" t="s">
        <v>35</v>
      </c>
      <c r="B12" s="61">
        <f>COUNTA('pow podst'!K3:K24)</f>
        <v>22</v>
      </c>
      <c r="C12" s="62">
        <f>SUM('pow podst'!J3:J24)</f>
        <v>144751647.33000001</v>
      </c>
      <c r="D12" s="63">
        <f>SUM('pow podst'!L3:L24)</f>
        <v>55370048.830000006</v>
      </c>
      <c r="E12" s="64">
        <f>SUM('pow podst'!K3:K24)</f>
        <v>89381598.5</v>
      </c>
      <c r="F12" s="65">
        <f>SUM('pow podst'!N3:N24)</f>
        <v>0</v>
      </c>
      <c r="G12" s="62">
        <f>SUM('pow podst'!O3:O24)</f>
        <v>0</v>
      </c>
      <c r="H12" s="62">
        <f>SUM('pow podst'!P3:P24)</f>
        <v>0</v>
      </c>
      <c r="I12" s="62">
        <f>SUM('pow podst'!Q3:Q24)</f>
        <v>0</v>
      </c>
      <c r="J12" s="62">
        <f>SUM('pow podst'!R3:R24)</f>
        <v>178965</v>
      </c>
      <c r="K12" s="62">
        <f>SUM('pow podst'!S3:S24)</f>
        <v>178965</v>
      </c>
      <c r="L12" s="62">
        <f>SUM('pow podst'!T3:T24)</f>
        <v>15420990</v>
      </c>
      <c r="M12" s="62">
        <f>SUM('pow podst'!U3:U24)</f>
        <v>61567267.5</v>
      </c>
      <c r="N12" s="62">
        <f>SUM('pow podst'!V3:V24)</f>
        <v>12035411</v>
      </c>
      <c r="O12" s="62">
        <f>SUM('pow podst'!W3:W24)</f>
        <v>0</v>
      </c>
      <c r="P12" s="62">
        <f>SUM('pow podst'!X3:X24)</f>
        <v>0</v>
      </c>
      <c r="Q12" s="66">
        <f>SUM('pow podst'!Y3:Y24)</f>
        <v>0</v>
      </c>
      <c r="R12" s="13" t="b">
        <f>C12=(D12+E12)</f>
        <v>1</v>
      </c>
      <c r="S12" s="21" t="b">
        <f>E12=SUM(F12:Q12)</f>
        <v>1</v>
      </c>
      <c r="T12" s="14"/>
      <c r="U12" s="14"/>
      <c r="V12" s="14"/>
      <c r="W12" s="14"/>
      <c r="X12" s="7"/>
      <c r="Y12" s="7"/>
      <c r="Z12" s="7"/>
    </row>
    <row r="13" spans="1:26" ht="39.950000000000003" customHeight="1" x14ac:dyDescent="0.25">
      <c r="A13" s="67" t="s">
        <v>36</v>
      </c>
      <c r="B13" s="110">
        <f>COUNTIF('pow podst'!C3:C24,"K")</f>
        <v>7</v>
      </c>
      <c r="C13" s="111">
        <f>SUMIF('pow podst'!C3:C24,"K",'pow podst'!J3:J24)</f>
        <v>62796817.010000005</v>
      </c>
      <c r="D13" s="112">
        <f>SUMIF('pow podst'!C3:C24,"K",'pow podst'!L3:L24)</f>
        <v>21286865.010000002</v>
      </c>
      <c r="E13" s="28">
        <f>SUMIF('pow podst'!C3:C24,"K",'pow podst'!K3:K24)</f>
        <v>41509952</v>
      </c>
      <c r="F13" s="119">
        <f>SUMIF('pow podst'!C3:C24,"K",'pow podst'!N3:N24)</f>
        <v>0</v>
      </c>
      <c r="G13" s="111">
        <f>SUMIF('pow podst'!C3:C24,"K",'pow podst'!O3:O24)</f>
        <v>0</v>
      </c>
      <c r="H13" s="111">
        <f>SUMIF('pow podst'!C3:C24,"K",'pow podst'!P3:P24)</f>
        <v>0</v>
      </c>
      <c r="I13" s="111">
        <f>SUMIF('pow podst'!C3:C24,"K",'pow podst'!Q3:Q24)</f>
        <v>0</v>
      </c>
      <c r="J13" s="111">
        <f>SUMIF('pow podst'!C3:C24,"K",'pow podst'!R3:R24)</f>
        <v>178965</v>
      </c>
      <c r="K13" s="111">
        <f>SUMIF('pow podst'!C3:C24,"K",'pow podst'!S3:S24)</f>
        <v>178965</v>
      </c>
      <c r="L13" s="111">
        <f>SUMIF('pow podst'!C3:C24,"K",'pow podst'!T3:T24)</f>
        <v>15420990</v>
      </c>
      <c r="M13" s="111">
        <f>SUMIF('pow podst'!C3:C24,"K",'pow podst'!U3:U24)</f>
        <v>25731032</v>
      </c>
      <c r="N13" s="111">
        <f>SUMIF('pow podst'!C3:C24,"K",'pow podst'!V3:V24)</f>
        <v>0</v>
      </c>
      <c r="O13" s="111">
        <f>SUMIF('pow podst'!C3:C24,"K",'pow podst'!W3:W24)</f>
        <v>0</v>
      </c>
      <c r="P13" s="111">
        <f>SUMIF('pow podst'!D3:D24,"K",'pow podst'!X3:X24)</f>
        <v>0</v>
      </c>
      <c r="Q13" s="120">
        <f>SUMIF('pow podst'!E3:E24,"K",'pow podst'!Y3:Y24)</f>
        <v>0</v>
      </c>
      <c r="R13" s="13" t="b">
        <f t="shared" ref="R13:R36" si="0">C13=(D13+E13)</f>
        <v>1</v>
      </c>
      <c r="S13" s="21" t="b">
        <f t="shared" ref="S13:S36" si="1">E13=SUM(F13:Q13)</f>
        <v>1</v>
      </c>
      <c r="T13" s="14"/>
      <c r="U13" s="14"/>
      <c r="V13" s="14"/>
      <c r="W13" s="14"/>
      <c r="X13" s="7"/>
      <c r="Y13" s="7"/>
      <c r="Z13" s="7"/>
    </row>
    <row r="14" spans="1:26" ht="39.950000000000003" customHeight="1" x14ac:dyDescent="0.25">
      <c r="A14" s="68" t="s">
        <v>37</v>
      </c>
      <c r="B14" s="113">
        <f>COUNTIF('pow podst'!C3:C24,"N")</f>
        <v>11</v>
      </c>
      <c r="C14" s="114">
        <f>SUMIF('pow podst'!C3:C24,"N",'pow podst'!J3:J24)</f>
        <v>46339493.259999998</v>
      </c>
      <c r="D14" s="115">
        <f>SUMIF('pow podst'!C3:C24,"N",'pow podst'!L3:L24)</f>
        <v>21535528.759999998</v>
      </c>
      <c r="E14" s="27">
        <f>SUMIF('pow podst'!C3:C24,"N",'pow podst'!K3:K24)</f>
        <v>24803964.5</v>
      </c>
      <c r="F14" s="121">
        <f>SUMIF('pow podst'!C3:C24,"N",'pow podst'!N3:N24)</f>
        <v>0</v>
      </c>
      <c r="G14" s="114">
        <f>SUMIF('pow podst'!C3:C24,"N",'pow podst'!O3:O24)</f>
        <v>0</v>
      </c>
      <c r="H14" s="114">
        <f>SUMIF('pow podst'!C3:C24,"N",'pow podst'!P3:P24)</f>
        <v>0</v>
      </c>
      <c r="I14" s="114">
        <f>SUMIF('pow podst'!C3:C24,"N",'pow podst'!Q3:Q24)</f>
        <v>0</v>
      </c>
      <c r="J14" s="114">
        <f>SUMIF('pow podst'!C3:C24,"N",'pow podst'!R3:R24)</f>
        <v>0</v>
      </c>
      <c r="K14" s="114">
        <f>SUMIF('pow podst'!C3:C24,"N",'pow podst'!S3:S24)</f>
        <v>0</v>
      </c>
      <c r="L14" s="114">
        <f>SUMIF('pow podst'!C3:C24,"N",'pow podst'!T3:T24)</f>
        <v>0</v>
      </c>
      <c r="M14" s="114">
        <f>SUMIF('pow podst'!C3:C24,"N",'pow podst'!U3:U24)</f>
        <v>24803964.5</v>
      </c>
      <c r="N14" s="114">
        <f>SUMIF('pow podst'!C3:C24,"N",'pow podst'!V3:V24)</f>
        <v>0</v>
      </c>
      <c r="O14" s="114">
        <f>SUMIF('pow podst'!C3:C24,"N",'pow podst'!W3:W24)</f>
        <v>0</v>
      </c>
      <c r="P14" s="114">
        <f>SUMIF('pow podst'!D3:D24,"N",'pow podst'!X3:X24)</f>
        <v>0</v>
      </c>
      <c r="Q14" s="122">
        <f>SUMIF('pow podst'!E3:E24,"N",'pow podst'!Y3:Y24)</f>
        <v>0</v>
      </c>
      <c r="R14" s="13" t="b">
        <f t="shared" si="0"/>
        <v>1</v>
      </c>
      <c r="S14" s="21" t="b">
        <f t="shared" si="1"/>
        <v>1</v>
      </c>
      <c r="T14" s="14"/>
      <c r="U14" s="14"/>
      <c r="V14" s="14"/>
      <c r="W14" s="14"/>
      <c r="X14" s="7"/>
      <c r="Y14" s="7"/>
      <c r="Z14" s="7"/>
    </row>
    <row r="15" spans="1:26" ht="39.950000000000003" customHeight="1" thickBot="1" x14ac:dyDescent="0.3">
      <c r="A15" s="69" t="s">
        <v>38</v>
      </c>
      <c r="B15" s="116">
        <f>COUNTIF('pow podst'!C3:C24,"W")</f>
        <v>4</v>
      </c>
      <c r="C15" s="117">
        <f>SUMIF('pow podst'!C3:C24,"W",'pow podst'!J3:J24)</f>
        <v>35615337.060000002</v>
      </c>
      <c r="D15" s="118">
        <f>SUMIF('pow podst'!C3:C24,"W",'pow podst'!L3:L24)</f>
        <v>12547655.060000001</v>
      </c>
      <c r="E15" s="70">
        <f>SUMIF('pow podst'!C3:C24,"W",'pow podst'!K3:K24)</f>
        <v>23067682</v>
      </c>
      <c r="F15" s="123">
        <f>SUMIF('pow podst'!C3:C24,"W",'pow podst'!N3:N24)</f>
        <v>0</v>
      </c>
      <c r="G15" s="117">
        <f>SUMIF('pow podst'!C3:C24,"W",'pow podst'!O3:O24)</f>
        <v>0</v>
      </c>
      <c r="H15" s="117">
        <f>SUMIF('pow podst'!C3:C24,"W",'pow podst'!P3:P24)</f>
        <v>0</v>
      </c>
      <c r="I15" s="117">
        <f>SUMIF('pow podst'!C3:C24,"W",'pow podst'!Q3:Q24)</f>
        <v>0</v>
      </c>
      <c r="J15" s="117">
        <f>SUMIF('pow podst'!C3:C24,"W",'pow podst'!R3:R24)</f>
        <v>0</v>
      </c>
      <c r="K15" s="117">
        <f>SUMIF('pow podst'!C3:C24,"W",'pow podst'!S3:S24)</f>
        <v>0</v>
      </c>
      <c r="L15" s="117">
        <f>SUMIF('pow podst'!C3:C24,"W",'pow podst'!T3:T24)</f>
        <v>0</v>
      </c>
      <c r="M15" s="117">
        <f>SUMIF('pow podst'!C3:C24,"W",'pow podst'!U3:U24)</f>
        <v>11032271</v>
      </c>
      <c r="N15" s="117">
        <f>SUMIF('pow podst'!C3:C24,"W",'pow podst'!V3:V24)</f>
        <v>12035411</v>
      </c>
      <c r="O15" s="117">
        <f>SUMIF('pow podst'!C3:C24,"W",'pow podst'!W3:W24)</f>
        <v>0</v>
      </c>
      <c r="P15" s="117">
        <f>SUMIF('pow podst'!D3:D24,"W",'pow podst'!X3:X24)</f>
        <v>0</v>
      </c>
      <c r="Q15" s="124">
        <f>SUMIF('pow podst'!E3:E24,"W",'pow podst'!Y3:Y24)</f>
        <v>0</v>
      </c>
      <c r="R15" s="13" t="b">
        <f t="shared" si="0"/>
        <v>1</v>
      </c>
      <c r="S15" s="21" t="b">
        <f t="shared" si="1"/>
        <v>1</v>
      </c>
      <c r="T15" s="14"/>
      <c r="U15" s="14"/>
      <c r="V15" s="14"/>
      <c r="W15" s="14"/>
      <c r="X15" s="7"/>
      <c r="Y15" s="7"/>
      <c r="Z15" s="7"/>
    </row>
    <row r="16" spans="1:26" ht="39.950000000000003" customHeight="1" thickTop="1" x14ac:dyDescent="0.25">
      <c r="A16" s="60" t="s">
        <v>39</v>
      </c>
      <c r="B16" s="61">
        <f>COUNTA('gm podst'!L3:L57)</f>
        <v>55</v>
      </c>
      <c r="C16" s="62">
        <f>SUM('gm podst'!K3:K57)</f>
        <v>182009196.30000001</v>
      </c>
      <c r="D16" s="63">
        <f>SUM('gm podst'!M3:M57)</f>
        <v>50617923.29999999</v>
      </c>
      <c r="E16" s="64">
        <f>SUM('gm podst'!L3:L57)</f>
        <v>131391273</v>
      </c>
      <c r="F16" s="125">
        <f>SUM('gm podst'!O3:O57)</f>
        <v>0</v>
      </c>
      <c r="G16" s="126">
        <f>SUM('gm podst'!P3:P57)</f>
        <v>0</v>
      </c>
      <c r="H16" s="126">
        <f>SUM('gm podst'!Q3:Q57)</f>
        <v>0</v>
      </c>
      <c r="I16" s="126">
        <f>SUM('gm podst'!R3:R57)</f>
        <v>0</v>
      </c>
      <c r="J16" s="126">
        <f>SUM('gm podst'!S3:S57)</f>
        <v>0</v>
      </c>
      <c r="K16" s="126">
        <f>SUM('gm podst'!T3:T57)</f>
        <v>1430156</v>
      </c>
      <c r="L16" s="126">
        <f>SUM('gm podst'!U3:U57)</f>
        <v>16698874.75</v>
      </c>
      <c r="M16" s="126">
        <f>SUM('gm podst'!V3:V57)</f>
        <v>87525899.25</v>
      </c>
      <c r="N16" s="126">
        <f>SUM('gm podst'!W3:W57)</f>
        <v>19413592</v>
      </c>
      <c r="O16" s="126">
        <f>SUM('gm podst'!X3:X57)</f>
        <v>6322751</v>
      </c>
      <c r="P16" s="126">
        <f>SUM('gm podst'!Y3:Y57)</f>
        <v>0</v>
      </c>
      <c r="Q16" s="127">
        <f>SUM('gm podst'!Z3:Z57)</f>
        <v>0</v>
      </c>
      <c r="R16" s="13" t="b">
        <f t="shared" si="0"/>
        <v>1</v>
      </c>
      <c r="S16" s="21" t="b">
        <f t="shared" si="1"/>
        <v>1</v>
      </c>
      <c r="T16" s="14"/>
      <c r="U16" s="14"/>
      <c r="V16" s="14"/>
      <c r="W16" s="14"/>
      <c r="X16" s="14"/>
      <c r="Y16" s="14"/>
      <c r="Z16" s="14"/>
    </row>
    <row r="17" spans="1:26" ht="39.950000000000003" customHeight="1" x14ac:dyDescent="0.25">
      <c r="A17" s="67" t="s">
        <v>36</v>
      </c>
      <c r="B17" s="110">
        <f>COUNTIF('gm podst'!C3:C57,"K")</f>
        <v>13</v>
      </c>
      <c r="C17" s="111">
        <f>SUMIF('gm podst'!C3:C57,"K",'gm podst'!K3:K57)</f>
        <v>61221742.850000001</v>
      </c>
      <c r="D17" s="112">
        <f>SUMIF('gm podst'!C3:C57,"K",'gm podst'!M3:M57)</f>
        <v>15832362.850000001</v>
      </c>
      <c r="E17" s="28">
        <f>SUMIF('gm podst'!C3:C57,"K",'gm podst'!L3:L57)</f>
        <v>45389380</v>
      </c>
      <c r="F17" s="119">
        <f>SUMIF('gm podst'!C3:C57,"K",'gm podst'!O3:O57)</f>
        <v>0</v>
      </c>
      <c r="G17" s="111">
        <f>SUMIF('gm podst'!C3:C57,"K",'gm podst'!P3:P57)</f>
        <v>0</v>
      </c>
      <c r="H17" s="111">
        <f>SUMIF('gm podst'!C3:C57,"K",'gm podst'!Q3:Q57)</f>
        <v>0</v>
      </c>
      <c r="I17" s="111">
        <f>SUMIF('gm podst'!C3:C57,"K",'gm podst'!R3:R57)</f>
        <v>0</v>
      </c>
      <c r="J17" s="111">
        <f>SUMIF('gm podst'!C3:C57,"K",'gm podst'!S3:S57)</f>
        <v>0</v>
      </c>
      <c r="K17" s="111">
        <f>SUMIF('gm podst'!C3:C57,"K",'gm podst'!T3:T57)</f>
        <v>1430156</v>
      </c>
      <c r="L17" s="111">
        <f>SUMIF('gm podst'!C3:C57,"K",'gm podst'!U3:U57)</f>
        <v>16698874.75</v>
      </c>
      <c r="M17" s="111">
        <f>SUMIF('gm podst'!C3:C57,"K",'gm podst'!V3:V57)</f>
        <v>21189670.25</v>
      </c>
      <c r="N17" s="111">
        <f>SUMIF('gm podst'!C3:C57,"K",'gm podst'!W3:W57)</f>
        <v>6070679</v>
      </c>
      <c r="O17" s="111">
        <f>SUMIF('gm podst'!C3:C57,"K",'gm podst'!X3:X57)</f>
        <v>0</v>
      </c>
      <c r="P17" s="111">
        <f>SUMIF('gm podst'!D3:D57,"K",'gm podst'!Y3:Y57)</f>
        <v>0</v>
      </c>
      <c r="Q17" s="120">
        <f>SUMIF('gm podst'!E3:E57,"K",'gm podst'!Z3:Z57)</f>
        <v>0</v>
      </c>
      <c r="R17" s="13" t="b">
        <f t="shared" si="0"/>
        <v>1</v>
      </c>
      <c r="S17" s="21" t="b">
        <f t="shared" si="1"/>
        <v>1</v>
      </c>
      <c r="T17" s="14"/>
      <c r="U17" s="14"/>
      <c r="V17" s="14"/>
      <c r="W17" s="14"/>
      <c r="X17" s="14"/>
      <c r="Y17" s="14"/>
      <c r="Z17" s="14"/>
    </row>
    <row r="18" spans="1:26" ht="39.950000000000003" customHeight="1" x14ac:dyDescent="0.25">
      <c r="A18" s="68" t="s">
        <v>37</v>
      </c>
      <c r="B18" s="113">
        <f>COUNTIF('gm podst'!C3:C57,"N")</f>
        <v>38</v>
      </c>
      <c r="C18" s="114">
        <f>SUMIF('gm podst'!C3:C57,"N",'gm podst'!K3:K57)</f>
        <v>84483013.87999998</v>
      </c>
      <c r="D18" s="115">
        <f>SUMIF('gm podst'!C3:C57,"N",'gm podst'!M3:M57)</f>
        <v>25064774.879999995</v>
      </c>
      <c r="E18" s="27">
        <f>SUMIF('gm podst'!C3:C57,"N",'gm podst'!L3:L57)</f>
        <v>59418239</v>
      </c>
      <c r="F18" s="121">
        <f>SUMIF('gm podst'!C3:C57,"N",'gm podst'!O3:O57)</f>
        <v>0</v>
      </c>
      <c r="G18" s="114">
        <f>SUMIF('gm podst'!C3:C57,"N",'gm podst'!P3:P57)</f>
        <v>0</v>
      </c>
      <c r="H18" s="114">
        <f>SUMIF('gm podst'!C3:C57,"N",'gm podst'!Q3:Q57)</f>
        <v>0</v>
      </c>
      <c r="I18" s="114">
        <f>SUMIF('gm podst'!C3:C57,"N",'gm podst'!R3:R57)</f>
        <v>0</v>
      </c>
      <c r="J18" s="114">
        <f>SUMIF('gm podst'!C3:C57,"N",'gm podst'!S3:S57)</f>
        <v>0</v>
      </c>
      <c r="K18" s="114">
        <f>SUMIF('gm podst'!C3:C57,"N",'gm podst'!T3:T57)</f>
        <v>0</v>
      </c>
      <c r="L18" s="114">
        <f>SUMIF('gm podst'!C3:C57,"N",'gm podst'!U3:U57)</f>
        <v>0</v>
      </c>
      <c r="M18" s="114">
        <f>SUMIF('gm podst'!C3:C57,"N",'gm podst'!V3:V57)</f>
        <v>59418239</v>
      </c>
      <c r="N18" s="114">
        <f>SUMIF('gm podst'!C3:C57,"N",'gm podst'!W3:W57)</f>
        <v>0</v>
      </c>
      <c r="O18" s="114">
        <f>SUMIF('gm podst'!C3:C57,"N",'gm podst'!X3:X57)</f>
        <v>0</v>
      </c>
      <c r="P18" s="114">
        <f>SUMIF('gm podst'!D3:D57,"N",'gm podst'!Y3:Y57)</f>
        <v>0</v>
      </c>
      <c r="Q18" s="122">
        <f>SUMIF('gm podst'!E3:E57,"N",'gm podst'!Z3:Z57)</f>
        <v>0</v>
      </c>
      <c r="R18" s="13" t="b">
        <f t="shared" si="0"/>
        <v>1</v>
      </c>
      <c r="S18" s="21" t="b">
        <f t="shared" si="1"/>
        <v>1</v>
      </c>
      <c r="T18" s="14"/>
      <c r="U18" s="14"/>
      <c r="V18" s="14"/>
      <c r="W18" s="14"/>
      <c r="X18" s="14"/>
      <c r="Y18" s="14"/>
      <c r="Z18" s="14"/>
    </row>
    <row r="19" spans="1:26" ht="39.950000000000003" customHeight="1" thickBot="1" x14ac:dyDescent="0.3">
      <c r="A19" s="69" t="s">
        <v>38</v>
      </c>
      <c r="B19" s="116">
        <f>COUNTIF('gm podst'!C3:C57,"W")</f>
        <v>4</v>
      </c>
      <c r="C19" s="117">
        <f>SUMIF('gm podst'!C3:C57,"W",'gm podst'!K3:K57)</f>
        <v>36304439.57</v>
      </c>
      <c r="D19" s="118">
        <f>SUMIF('gm podst'!C3:C57,"W",'gm podst'!M3:M57)</f>
        <v>9720785.5700000003</v>
      </c>
      <c r="E19" s="70">
        <f>SUMIF('gm podst'!C3:C57,"W",'gm podst'!L3:L57)</f>
        <v>26583654</v>
      </c>
      <c r="F19" s="123">
        <f>SUMIF('gm podst'!C3:C57,"W",'gm podst'!O3:O57)</f>
        <v>0</v>
      </c>
      <c r="G19" s="117">
        <f>SUMIF('gm podst'!C3:C57,"W",'gm podst'!P3:P57)</f>
        <v>0</v>
      </c>
      <c r="H19" s="117">
        <f>SUMIF('gm podst'!C3:C57,"W",'gm podst'!Q3:Q57)</f>
        <v>0</v>
      </c>
      <c r="I19" s="117">
        <f>SUMIF('gm podst'!C3:C57,"W",'gm podst'!R3:R57)</f>
        <v>0</v>
      </c>
      <c r="J19" s="117">
        <f>SUMIF('gm podst'!C3:C57,"W",'gm podst'!S3:S57)</f>
        <v>0</v>
      </c>
      <c r="K19" s="117">
        <f>SUMIF('gm podst'!C3:C57,"W",'gm podst'!T3:T57)</f>
        <v>0</v>
      </c>
      <c r="L19" s="117">
        <f>SUMIF('gm podst'!C3:C57,"W",'gm podst'!U3:U57)</f>
        <v>0</v>
      </c>
      <c r="M19" s="117">
        <f>SUMIF('gm podst'!C3:C57,"W",'gm podst'!V3:V57)</f>
        <v>6917990</v>
      </c>
      <c r="N19" s="117">
        <f>SUMIF('gm podst'!C3:C57,"W",'gm podst'!W3:W57)</f>
        <v>13342913</v>
      </c>
      <c r="O19" s="117">
        <f>SUMIF('gm podst'!C3:C57,"W",'gm podst'!X3:X57)</f>
        <v>6322751</v>
      </c>
      <c r="P19" s="117">
        <f>SUMIF('gm podst'!D3:D57,"W",'gm podst'!Y3:Y57)</f>
        <v>0</v>
      </c>
      <c r="Q19" s="124">
        <f>SUMIF('gm podst'!E3:E57,"W",'gm podst'!Z3:Z57)</f>
        <v>0</v>
      </c>
      <c r="R19" s="13" t="b">
        <f t="shared" si="0"/>
        <v>1</v>
      </c>
      <c r="S19" s="21" t="b">
        <f t="shared" si="1"/>
        <v>1</v>
      </c>
      <c r="T19" s="14"/>
      <c r="U19" s="14"/>
      <c r="V19" s="14"/>
      <c r="W19" s="14"/>
      <c r="X19" s="14"/>
      <c r="Y19" s="14"/>
      <c r="Z19" s="14"/>
    </row>
    <row r="20" spans="1:26" s="16" customFormat="1" ht="39.950000000000003" customHeight="1" thickTop="1" x14ac:dyDescent="0.25">
      <c r="A20" s="71" t="s">
        <v>40</v>
      </c>
      <c r="B20" s="72">
        <f>B12+B16</f>
        <v>77</v>
      </c>
      <c r="C20" s="73">
        <f>C12+C16</f>
        <v>326760843.63</v>
      </c>
      <c r="D20" s="74">
        <f t="shared" ref="C20:O22" si="2">D12+D16</f>
        <v>105987972.13</v>
      </c>
      <c r="E20" s="75">
        <f t="shared" si="2"/>
        <v>220772871.5</v>
      </c>
      <c r="F20" s="76">
        <f t="shared" si="2"/>
        <v>0</v>
      </c>
      <c r="G20" s="73">
        <f t="shared" si="2"/>
        <v>0</v>
      </c>
      <c r="H20" s="73">
        <f t="shared" si="2"/>
        <v>0</v>
      </c>
      <c r="I20" s="73">
        <f t="shared" si="2"/>
        <v>0</v>
      </c>
      <c r="J20" s="73">
        <f t="shared" si="2"/>
        <v>178965</v>
      </c>
      <c r="K20" s="73">
        <f t="shared" si="2"/>
        <v>1609121</v>
      </c>
      <c r="L20" s="73">
        <f t="shared" si="2"/>
        <v>32119864.75</v>
      </c>
      <c r="M20" s="73">
        <f t="shared" si="2"/>
        <v>149093166.75</v>
      </c>
      <c r="N20" s="73">
        <f t="shared" si="2"/>
        <v>31449003</v>
      </c>
      <c r="O20" s="73">
        <f t="shared" si="2"/>
        <v>6322751</v>
      </c>
      <c r="P20" s="73">
        <f t="shared" ref="P20:Q20" si="3">P12+P16</f>
        <v>0</v>
      </c>
      <c r="Q20" s="77">
        <f t="shared" si="3"/>
        <v>0</v>
      </c>
      <c r="R20" s="13" t="b">
        <f t="shared" si="0"/>
        <v>1</v>
      </c>
      <c r="S20" s="21" t="b">
        <f t="shared" si="1"/>
        <v>1</v>
      </c>
      <c r="T20" s="15"/>
      <c r="U20" s="15"/>
      <c r="V20" s="15"/>
      <c r="W20" s="15"/>
      <c r="X20" s="15"/>
      <c r="Y20" s="15"/>
      <c r="Z20" s="15"/>
    </row>
    <row r="21" spans="1:26" s="16" customFormat="1" ht="39.950000000000003" customHeight="1" x14ac:dyDescent="0.25">
      <c r="A21" s="78" t="s">
        <v>36</v>
      </c>
      <c r="B21" s="42">
        <f>B13+B17</f>
        <v>20</v>
      </c>
      <c r="C21" s="34">
        <f t="shared" si="2"/>
        <v>124018559.86000001</v>
      </c>
      <c r="D21" s="47">
        <f t="shared" si="2"/>
        <v>37119227.859999999</v>
      </c>
      <c r="E21" s="28">
        <f t="shared" si="2"/>
        <v>86899332</v>
      </c>
      <c r="F21" s="52">
        <f t="shared" si="2"/>
        <v>0</v>
      </c>
      <c r="G21" s="34">
        <f t="shared" si="2"/>
        <v>0</v>
      </c>
      <c r="H21" s="34">
        <f t="shared" si="2"/>
        <v>0</v>
      </c>
      <c r="I21" s="34">
        <f t="shared" si="2"/>
        <v>0</v>
      </c>
      <c r="J21" s="34">
        <f t="shared" si="2"/>
        <v>178965</v>
      </c>
      <c r="K21" s="34">
        <f t="shared" si="2"/>
        <v>1609121</v>
      </c>
      <c r="L21" s="34">
        <f t="shared" si="2"/>
        <v>32119864.75</v>
      </c>
      <c r="M21" s="34">
        <f t="shared" si="2"/>
        <v>46920702.25</v>
      </c>
      <c r="N21" s="34">
        <f t="shared" si="2"/>
        <v>6070679</v>
      </c>
      <c r="O21" s="34">
        <f t="shared" si="2"/>
        <v>0</v>
      </c>
      <c r="P21" s="34">
        <f t="shared" ref="P21:Q21" si="4">P13+P17</f>
        <v>0</v>
      </c>
      <c r="Q21" s="79">
        <f t="shared" si="4"/>
        <v>0</v>
      </c>
      <c r="R21" s="13" t="b">
        <f t="shared" si="0"/>
        <v>1</v>
      </c>
      <c r="S21" s="21" t="b">
        <f>E21=SUM(F21:Q21)</f>
        <v>1</v>
      </c>
      <c r="T21" s="15"/>
      <c r="U21" s="15"/>
      <c r="V21" s="15"/>
      <c r="W21" s="15"/>
      <c r="X21" s="15"/>
      <c r="Y21" s="15"/>
      <c r="Z21" s="15"/>
    </row>
    <row r="22" spans="1:26" s="16" customFormat="1" ht="39.950000000000003" customHeight="1" x14ac:dyDescent="0.25">
      <c r="A22" s="80" t="s">
        <v>37</v>
      </c>
      <c r="B22" s="43">
        <f>B14+B18</f>
        <v>49</v>
      </c>
      <c r="C22" s="37">
        <f t="shared" si="2"/>
        <v>130822507.13999999</v>
      </c>
      <c r="D22" s="48">
        <f t="shared" si="2"/>
        <v>46600303.639999993</v>
      </c>
      <c r="E22" s="27">
        <f t="shared" si="2"/>
        <v>84222203.5</v>
      </c>
      <c r="F22" s="53">
        <f t="shared" si="2"/>
        <v>0</v>
      </c>
      <c r="G22" s="37">
        <f t="shared" si="2"/>
        <v>0</v>
      </c>
      <c r="H22" s="37">
        <f t="shared" si="2"/>
        <v>0</v>
      </c>
      <c r="I22" s="37">
        <f t="shared" si="2"/>
        <v>0</v>
      </c>
      <c r="J22" s="37">
        <f t="shared" si="2"/>
        <v>0</v>
      </c>
      <c r="K22" s="37">
        <f t="shared" si="2"/>
        <v>0</v>
      </c>
      <c r="L22" s="37">
        <f t="shared" si="2"/>
        <v>0</v>
      </c>
      <c r="M22" s="37">
        <f t="shared" si="2"/>
        <v>84222203.5</v>
      </c>
      <c r="N22" s="37">
        <f t="shared" si="2"/>
        <v>0</v>
      </c>
      <c r="O22" s="37">
        <f t="shared" si="2"/>
        <v>0</v>
      </c>
      <c r="P22" s="37">
        <f t="shared" ref="P22:Q22" si="5">P14+P18</f>
        <v>0</v>
      </c>
      <c r="Q22" s="81">
        <f t="shared" si="5"/>
        <v>0</v>
      </c>
      <c r="R22" s="13" t="b">
        <f t="shared" si="0"/>
        <v>1</v>
      </c>
      <c r="S22" s="21" t="b">
        <f t="shared" si="1"/>
        <v>1</v>
      </c>
      <c r="T22" s="15"/>
      <c r="U22" s="15"/>
      <c r="V22" s="15"/>
      <c r="W22" s="15"/>
      <c r="X22" s="15"/>
      <c r="Y22" s="15"/>
      <c r="Z22" s="15"/>
    </row>
    <row r="23" spans="1:26" s="16" customFormat="1" ht="39.950000000000003" customHeight="1" thickBot="1" x14ac:dyDescent="0.3">
      <c r="A23" s="82" t="s">
        <v>38</v>
      </c>
      <c r="B23" s="83">
        <f>B15+B19</f>
        <v>8</v>
      </c>
      <c r="C23" s="84">
        <f t="shared" ref="C23:O23" si="6">C15+C19</f>
        <v>71919776.629999995</v>
      </c>
      <c r="D23" s="85">
        <f t="shared" si="6"/>
        <v>22268440.630000003</v>
      </c>
      <c r="E23" s="70">
        <f t="shared" si="6"/>
        <v>49651336</v>
      </c>
      <c r="F23" s="86">
        <f t="shared" si="6"/>
        <v>0</v>
      </c>
      <c r="G23" s="84">
        <f t="shared" si="6"/>
        <v>0</v>
      </c>
      <c r="H23" s="84">
        <f t="shared" si="6"/>
        <v>0</v>
      </c>
      <c r="I23" s="84">
        <f t="shared" si="6"/>
        <v>0</v>
      </c>
      <c r="J23" s="84">
        <f t="shared" si="6"/>
        <v>0</v>
      </c>
      <c r="K23" s="84">
        <f t="shared" si="6"/>
        <v>0</v>
      </c>
      <c r="L23" s="84">
        <f t="shared" si="6"/>
        <v>0</v>
      </c>
      <c r="M23" s="84">
        <f t="shared" si="6"/>
        <v>17950261</v>
      </c>
      <c r="N23" s="84">
        <f t="shared" si="6"/>
        <v>25378324</v>
      </c>
      <c r="O23" s="84">
        <f t="shared" si="6"/>
        <v>6322751</v>
      </c>
      <c r="P23" s="84">
        <f t="shared" ref="P23:Q23" si="7">P15+P19</f>
        <v>0</v>
      </c>
      <c r="Q23" s="87">
        <f t="shared" si="7"/>
        <v>0</v>
      </c>
      <c r="R23" s="13" t="b">
        <f t="shared" si="0"/>
        <v>1</v>
      </c>
      <c r="S23" s="21" t="b">
        <f t="shared" si="1"/>
        <v>1</v>
      </c>
      <c r="T23" s="15"/>
      <c r="U23" s="15"/>
      <c r="V23" s="15"/>
      <c r="W23" s="15"/>
      <c r="X23" s="15"/>
      <c r="Y23" s="15"/>
      <c r="Z23" s="15"/>
    </row>
    <row r="24" spans="1:26" ht="39.950000000000003" customHeight="1" thickTop="1" x14ac:dyDescent="0.25">
      <c r="A24" s="60" t="s">
        <v>2</v>
      </c>
      <c r="B24" s="61">
        <f>COUNTA('pow rez'!K3:K15)</f>
        <v>13</v>
      </c>
      <c r="C24" s="62">
        <f>SUM('pow rez'!J3:J15)</f>
        <v>85642194.540000007</v>
      </c>
      <c r="D24" s="63">
        <f>SUM('pow rez'!L3:L15)</f>
        <v>36478540.920000002</v>
      </c>
      <c r="E24" s="64">
        <f>SUM('pow rez'!K3:K15)</f>
        <v>49163653.619999997</v>
      </c>
      <c r="F24" s="65">
        <f>SUM('pow rez'!N3:N15)</f>
        <v>0</v>
      </c>
      <c r="G24" s="62">
        <f>SUM('pow rez'!O3:O15)</f>
        <v>0</v>
      </c>
      <c r="H24" s="62">
        <f>SUM('pow rez'!P3:P15)</f>
        <v>0</v>
      </c>
      <c r="I24" s="62">
        <f>SUM('pow rez'!Q3:Q15)</f>
        <v>0</v>
      </c>
      <c r="J24" s="62">
        <f>SUM('pow rez'!R3:R15)</f>
        <v>0</v>
      </c>
      <c r="K24" s="62">
        <f>SUM('pow rez'!S3:S15)</f>
        <v>0</v>
      </c>
      <c r="L24" s="62">
        <f>SUM('pow rez'!T3:T15)</f>
        <v>0</v>
      </c>
      <c r="M24" s="62">
        <f>SUM('pow rez'!U3:U15)</f>
        <v>37866961.619999997</v>
      </c>
      <c r="N24" s="62">
        <f>SUM('pow rez'!V3:V15)</f>
        <v>11296692</v>
      </c>
      <c r="O24" s="62">
        <f>SUM('pow rez'!W3:W15)</f>
        <v>0</v>
      </c>
      <c r="P24" s="62">
        <f>SUM('pow rez'!X3:X15)</f>
        <v>0</v>
      </c>
      <c r="Q24" s="66">
        <f>SUM('pow rez'!Y3:Y15)</f>
        <v>0</v>
      </c>
      <c r="R24" s="13" t="b">
        <f t="shared" si="0"/>
        <v>1</v>
      </c>
      <c r="S24" s="21" t="b">
        <f t="shared" si="1"/>
        <v>1</v>
      </c>
      <c r="T24" s="14"/>
      <c r="U24" s="14"/>
      <c r="V24" s="14"/>
      <c r="W24" s="14"/>
      <c r="X24" s="14"/>
      <c r="Y24" s="14"/>
      <c r="Z24" s="14"/>
    </row>
    <row r="25" spans="1:26" ht="39.950000000000003" customHeight="1" x14ac:dyDescent="0.25">
      <c r="A25" s="68" t="s">
        <v>37</v>
      </c>
      <c r="B25" s="113">
        <f>COUNTIF('pow rez'!C3:C15,"N")</f>
        <v>11</v>
      </c>
      <c r="C25" s="114">
        <f>SUMIF('pow rez'!C3:C15,"N",'pow rez'!J3:J15)</f>
        <v>50315410.010000005</v>
      </c>
      <c r="D25" s="115">
        <f>SUMIF('pow rez'!C3:C15,"N",'pow rez'!L3:L15)</f>
        <v>19461896.010000002</v>
      </c>
      <c r="E25" s="27">
        <f>SUMIF('pow rez'!C3:C15,"N",'pow rez'!K3:K15)</f>
        <v>30853514</v>
      </c>
      <c r="F25" s="121">
        <f>SUMIF('pow rez'!C3:C15,"N",'pow rez'!N3:N15)</f>
        <v>0</v>
      </c>
      <c r="G25" s="114">
        <f>SUMIF('pow rez'!C3:C15,"N",'pow rez'!O3:O15)</f>
        <v>0</v>
      </c>
      <c r="H25" s="114">
        <f>SUMIF('pow rez'!C3:C15,"N",'pow rez'!P3:P15)</f>
        <v>0</v>
      </c>
      <c r="I25" s="114">
        <f>SUMIF('pow rez'!C3:C15,"N",'pow rez'!Q3:Q15)</f>
        <v>0</v>
      </c>
      <c r="J25" s="114">
        <f>SUMIF('pow rez'!C3:C15,"N",'pow rez'!R3:R15)</f>
        <v>0</v>
      </c>
      <c r="K25" s="114">
        <f>SUMIF('pow rez'!C3:C15,"N",'pow rez'!S3:S15)</f>
        <v>0</v>
      </c>
      <c r="L25" s="114">
        <f>SUMIF('pow rez'!C3:C15,"N",'pow rez'!T3:T15)</f>
        <v>0</v>
      </c>
      <c r="M25" s="114">
        <f>SUMIF('pow rez'!C3:C15,"N",'pow rez'!U3:U15)</f>
        <v>30853514</v>
      </c>
      <c r="N25" s="114">
        <f>SUMIF('pow rez'!C3:C15,"N",'pow rez'!V3:V15)</f>
        <v>0</v>
      </c>
      <c r="O25" s="114">
        <f>SUMIF('pow rez'!C3:C15,"N",'pow rez'!W3:W15)</f>
        <v>0</v>
      </c>
      <c r="P25" s="114">
        <f>SUMIF('pow rez'!D3:D15,"N",'pow rez'!X3:X15)</f>
        <v>0</v>
      </c>
      <c r="Q25" s="122">
        <f>SUMIF('pow rez'!E3:E15,"N",'pow rez'!Y3:Y15)</f>
        <v>0</v>
      </c>
      <c r="R25" s="13" t="b">
        <f t="shared" si="0"/>
        <v>1</v>
      </c>
      <c r="S25" s="21" t="b">
        <f t="shared" si="1"/>
        <v>1</v>
      </c>
      <c r="T25" s="14"/>
      <c r="U25" s="14"/>
      <c r="V25" s="14"/>
      <c r="W25" s="14"/>
      <c r="X25" s="14"/>
      <c r="Y25" s="14"/>
      <c r="Z25" s="14"/>
    </row>
    <row r="26" spans="1:26" ht="39.950000000000003" customHeight="1" thickBot="1" x14ac:dyDescent="0.3">
      <c r="A26" s="69" t="s">
        <v>38</v>
      </c>
      <c r="B26" s="116">
        <f>COUNTIF('pow rez'!C3:C15,"W")</f>
        <v>2</v>
      </c>
      <c r="C26" s="117">
        <f>SUMIF('pow rez'!C3:C15,"W",'pow rez'!J3:J15)</f>
        <v>35326784.530000001</v>
      </c>
      <c r="D26" s="118">
        <f>SUMIF('pow rez'!C3:C15,"W",'pow rez'!L3:L15)</f>
        <v>17016644.909999996</v>
      </c>
      <c r="E26" s="70">
        <f>SUMIF('pow rez'!C3:C15,"W",'pow rez'!K3:K15)</f>
        <v>18310139.620000001</v>
      </c>
      <c r="F26" s="123">
        <f>SUMIF('pow rez'!C3:C15,"W",'pow rez'!N3:N15)</f>
        <v>0</v>
      </c>
      <c r="G26" s="117">
        <f>SUMIF('pow rez'!C3:C15,"W",'pow rez'!O3:O15)</f>
        <v>0</v>
      </c>
      <c r="H26" s="117">
        <f>SUMIF('pow rez'!C3:C15,"W",'pow rez'!P3:P15)</f>
        <v>0</v>
      </c>
      <c r="I26" s="117">
        <f>SUMIF('pow rez'!C3:C15,"W",'pow rez'!Q3:Q15)</f>
        <v>0</v>
      </c>
      <c r="J26" s="117">
        <f>SUMIF('pow rez'!C3:C15,"W",'pow rez'!R3:R15)</f>
        <v>0</v>
      </c>
      <c r="K26" s="117">
        <f>SUMIF('pow rez'!C3:C15,"W",'pow rez'!S3:S15)</f>
        <v>0</v>
      </c>
      <c r="L26" s="117">
        <f>SUMIF('pow rez'!C3:C15,"W",'pow rez'!T3:T15)</f>
        <v>0</v>
      </c>
      <c r="M26" s="117">
        <f>SUMIF('pow rez'!C3:C15,"W",'pow rez'!U3:U15)</f>
        <v>7013447.6200000001</v>
      </c>
      <c r="N26" s="117">
        <f>SUMIF('pow rez'!C3:C15,"W",'pow rez'!V3:V15)</f>
        <v>11296692</v>
      </c>
      <c r="O26" s="117">
        <f>SUMIF('pow rez'!C3:C15,"W",'pow rez'!W3:W15)</f>
        <v>0</v>
      </c>
      <c r="P26" s="117">
        <f>SUMIF('pow rez'!D3:D15,"W",'pow rez'!X3:X15)</f>
        <v>0</v>
      </c>
      <c r="Q26" s="124">
        <f>SUMIF('pow rez'!E3:E15,"W",'pow rez'!Y3:Y15)</f>
        <v>0</v>
      </c>
      <c r="R26" s="13" t="b">
        <f t="shared" si="0"/>
        <v>1</v>
      </c>
      <c r="S26" s="21" t="b">
        <f t="shared" si="1"/>
        <v>1</v>
      </c>
      <c r="T26" s="14"/>
      <c r="U26" s="14"/>
      <c r="V26" s="14"/>
      <c r="W26" s="14"/>
      <c r="X26" s="14"/>
      <c r="Y26" s="14"/>
      <c r="Z26" s="14"/>
    </row>
    <row r="27" spans="1:26" ht="39.950000000000003" customHeight="1" thickTop="1" x14ac:dyDescent="0.25">
      <c r="A27" s="60" t="s">
        <v>3</v>
      </c>
      <c r="B27" s="61">
        <f>COUNTA('gm rez'!L3:L69)</f>
        <v>67</v>
      </c>
      <c r="C27" s="62">
        <f>SUM('gm rez'!K3:K69)</f>
        <v>98699242.120000005</v>
      </c>
      <c r="D27" s="63">
        <f>SUM('gm rez'!M3:M69)</f>
        <v>29457431.680000003</v>
      </c>
      <c r="E27" s="64">
        <f>SUM('gm rez'!L3:L69)</f>
        <v>69241810.439999998</v>
      </c>
      <c r="F27" s="65">
        <f>SUM('gm rez'!O3:O69)</f>
        <v>0</v>
      </c>
      <c r="G27" s="65">
        <f>SUM('gm rez'!P3:P69)</f>
        <v>0</v>
      </c>
      <c r="H27" s="65">
        <f>SUM('gm rez'!Q3:Q69)</f>
        <v>0</v>
      </c>
      <c r="I27" s="65">
        <f>SUM('gm rez'!R3:R69)</f>
        <v>0</v>
      </c>
      <c r="J27" s="65">
        <f>SUM('gm rez'!S3:S69)</f>
        <v>0</v>
      </c>
      <c r="K27" s="65">
        <f>SUM('gm rez'!T3:T69)</f>
        <v>0</v>
      </c>
      <c r="L27" s="65">
        <f>SUM('gm rez'!U3:U69)</f>
        <v>0</v>
      </c>
      <c r="M27" s="65">
        <f>SUM('gm rez'!V3:V69)</f>
        <v>61625444.440000005</v>
      </c>
      <c r="N27" s="65">
        <f>SUM('gm rez'!W3:W69)</f>
        <v>7616366</v>
      </c>
      <c r="O27" s="65">
        <f>SUM('gm rez'!X3:X69)</f>
        <v>0</v>
      </c>
      <c r="P27" s="65">
        <f>SUM('gm rez'!Y3:Y69)</f>
        <v>0</v>
      </c>
      <c r="Q27" s="65">
        <f>SUM('gm rez'!Z3:Z69)</f>
        <v>0</v>
      </c>
      <c r="R27" s="13" t="b">
        <f t="shared" si="0"/>
        <v>1</v>
      </c>
      <c r="S27" s="21" t="b">
        <f t="shared" si="1"/>
        <v>1</v>
      </c>
      <c r="T27" s="17"/>
      <c r="U27" s="17"/>
      <c r="V27" s="17"/>
      <c r="W27" s="17"/>
      <c r="X27" s="7"/>
      <c r="Y27" s="7"/>
      <c r="Z27" s="7"/>
    </row>
    <row r="28" spans="1:26" ht="39.950000000000003" customHeight="1" x14ac:dyDescent="0.25">
      <c r="A28" s="68" t="s">
        <v>37</v>
      </c>
      <c r="B28" s="113">
        <f>COUNTIF('gm rez'!C3:C69,"N")</f>
        <v>63</v>
      </c>
      <c r="C28" s="114">
        <f>SUMIF('gm rez'!C3:C69,"N",'gm rez'!K3:K69)</f>
        <v>81172417.459999979</v>
      </c>
      <c r="D28" s="115">
        <f>SUMIF('gm rez'!C3:C69,"N",'gm rez'!M3:M69)</f>
        <v>24032087.019999996</v>
      </c>
      <c r="E28" s="27">
        <f>SUMIF('gm rez'!C3:C69,"N",'gm rez'!L3:L69)</f>
        <v>57140330.440000005</v>
      </c>
      <c r="F28" s="121">
        <f>SUMIF('gm rez'!C3:C69,"N",'gm rez'!O3:O69)</f>
        <v>0</v>
      </c>
      <c r="G28" s="114">
        <f>SUMIF('gm rez'!C3:C69,"N",'gm rez'!P3:P69)</f>
        <v>0</v>
      </c>
      <c r="H28" s="114">
        <f>SUMIF('gm rez'!C3:C69,"N",'gm rez'!Q3:Q69)</f>
        <v>0</v>
      </c>
      <c r="I28" s="114">
        <f>SUMIF('gm rez'!C3:C69,"N",'gm rez'!R3:R69)</f>
        <v>0</v>
      </c>
      <c r="J28" s="114">
        <f>SUMIF('gm rez'!C3:C69,"N",'gm rez'!S3:S69)</f>
        <v>0</v>
      </c>
      <c r="K28" s="114">
        <f>SUMIF('gm rez'!C3:C69,"N",'gm rez'!T3:T69)</f>
        <v>0</v>
      </c>
      <c r="L28" s="114">
        <f>SUMIF('gm rez'!C3:C69,"N",'gm rez'!U3:U69)</f>
        <v>0</v>
      </c>
      <c r="M28" s="114">
        <f>SUMIF('gm rez'!C3:C69,"N",'gm rez'!V3:V69)</f>
        <v>57140330.440000005</v>
      </c>
      <c r="N28" s="114">
        <f>SUMIF('gm rez'!C3:C69,"N",'gm rez'!W3:W69)</f>
        <v>0</v>
      </c>
      <c r="O28" s="114">
        <f>SUMIF('gm rez'!C3:C69,"N",'gm rez'!X3:X69)</f>
        <v>0</v>
      </c>
      <c r="P28" s="114">
        <f>SUMIF('gm rez'!D3:D69,"N",'gm rez'!Y3:Y69)</f>
        <v>0</v>
      </c>
      <c r="Q28" s="122">
        <f>SUMIF('gm rez'!E3:E69,"N",'gm rez'!Z3:Z69)</f>
        <v>0</v>
      </c>
      <c r="R28" s="13" t="b">
        <f t="shared" si="0"/>
        <v>1</v>
      </c>
      <c r="S28" s="21" t="b">
        <f t="shared" si="1"/>
        <v>1</v>
      </c>
      <c r="T28" s="17"/>
      <c r="U28" s="17"/>
      <c r="V28" s="17"/>
      <c r="W28" s="17"/>
      <c r="X28" s="7"/>
      <c r="Y28" s="7"/>
      <c r="Z28" s="7"/>
    </row>
    <row r="29" spans="1:26" ht="39.950000000000003" customHeight="1" thickBot="1" x14ac:dyDescent="0.3">
      <c r="A29" s="69" t="s">
        <v>38</v>
      </c>
      <c r="B29" s="116">
        <f>COUNTIF('gm rez'!C3:C69,"W")</f>
        <v>4</v>
      </c>
      <c r="C29" s="117">
        <f>SUMIF('gm rez'!C3:C69,"W",'gm rez'!K3:K69)</f>
        <v>17526824.66</v>
      </c>
      <c r="D29" s="118">
        <f>SUMIF('gm rez'!C3:C69,"W",'gm rez'!M3:M69)</f>
        <v>5425344.6600000001</v>
      </c>
      <c r="E29" s="70">
        <f>SUMIF('gm rez'!C3:C69,"W",'gm rez'!L3:L69)</f>
        <v>12101480</v>
      </c>
      <c r="F29" s="123">
        <f>SUMIF('gm rez'!C3:C69,"W",'gm rez'!O3:O69)</f>
        <v>0</v>
      </c>
      <c r="G29" s="117">
        <f>SUMIF('gm rez'!C3:C69,"W",'gm rez'!P3:P69)</f>
        <v>0</v>
      </c>
      <c r="H29" s="117">
        <f>SUMIF('gm rez'!C3:C69,"W",'gm rez'!Q3:Q69)</f>
        <v>0</v>
      </c>
      <c r="I29" s="117">
        <f>SUMIF('gm rez'!C3:C69,"W",'gm rez'!R3:R69)</f>
        <v>0</v>
      </c>
      <c r="J29" s="117">
        <f>SUMIF('gm rez'!C3:C69,"W",'gm rez'!S3:S69)</f>
        <v>0</v>
      </c>
      <c r="K29" s="117">
        <f>SUMIF('gm rez'!C3:C69,"W",'gm rez'!T3:T69)</f>
        <v>0</v>
      </c>
      <c r="L29" s="117">
        <f>SUMIF('gm rez'!C3:C69,"W",'gm rez'!U3:U69)</f>
        <v>0</v>
      </c>
      <c r="M29" s="117">
        <f>SUMIF('gm rez'!C3:C69,"W",'gm rez'!V3:V69)</f>
        <v>4485114</v>
      </c>
      <c r="N29" s="117">
        <f>SUMIF('gm rez'!C3:C69,"W",'gm rez'!W3:W69)</f>
        <v>7616366</v>
      </c>
      <c r="O29" s="117">
        <f>SUMIF('gm rez'!C3:C69,"W",'gm rez'!X3:X69)</f>
        <v>0</v>
      </c>
      <c r="P29" s="117">
        <f>SUMIF('gm rez'!D3:D69,"W",'gm rez'!Y3:Y69)</f>
        <v>0</v>
      </c>
      <c r="Q29" s="124">
        <f>SUMIF('gm rez'!E3:E69,"W",'gm rez'!Z3:Z69)</f>
        <v>0</v>
      </c>
      <c r="R29" s="13" t="b">
        <f t="shared" si="0"/>
        <v>1</v>
      </c>
      <c r="S29" s="21" t="b">
        <f t="shared" si="1"/>
        <v>1</v>
      </c>
      <c r="T29" s="17"/>
      <c r="U29" s="17"/>
      <c r="V29" s="17"/>
      <c r="W29" s="17"/>
      <c r="X29" s="7"/>
      <c r="Y29" s="7"/>
      <c r="Z29" s="7"/>
    </row>
    <row r="30" spans="1:26" ht="39.950000000000003" customHeight="1" thickTop="1" x14ac:dyDescent="0.25">
      <c r="A30" s="134" t="s">
        <v>21</v>
      </c>
      <c r="B30" s="135">
        <f>B24+B27</f>
        <v>80</v>
      </c>
      <c r="C30" s="136">
        <f t="shared" ref="C30:O30" si="8">C24+C27</f>
        <v>184341436.66000003</v>
      </c>
      <c r="D30" s="137">
        <f t="shared" si="8"/>
        <v>65935972.600000009</v>
      </c>
      <c r="E30" s="138">
        <f t="shared" si="8"/>
        <v>118405464.06</v>
      </c>
      <c r="F30" s="139">
        <f t="shared" si="8"/>
        <v>0</v>
      </c>
      <c r="G30" s="136">
        <f t="shared" si="8"/>
        <v>0</v>
      </c>
      <c r="H30" s="136">
        <f t="shared" si="8"/>
        <v>0</v>
      </c>
      <c r="I30" s="136">
        <f t="shared" si="8"/>
        <v>0</v>
      </c>
      <c r="J30" s="136">
        <f t="shared" si="8"/>
        <v>0</v>
      </c>
      <c r="K30" s="136">
        <f t="shared" si="8"/>
        <v>0</v>
      </c>
      <c r="L30" s="136">
        <f t="shared" si="8"/>
        <v>0</v>
      </c>
      <c r="M30" s="136">
        <f t="shared" si="8"/>
        <v>99492406.060000002</v>
      </c>
      <c r="N30" s="136">
        <f t="shared" si="8"/>
        <v>18913058</v>
      </c>
      <c r="O30" s="136">
        <f t="shared" si="8"/>
        <v>0</v>
      </c>
      <c r="P30" s="136">
        <f t="shared" ref="P30:Q30" si="9">P24+P27</f>
        <v>0</v>
      </c>
      <c r="Q30" s="140">
        <f t="shared" si="9"/>
        <v>0</v>
      </c>
      <c r="R30" s="13" t="b">
        <f t="shared" si="0"/>
        <v>1</v>
      </c>
      <c r="S30" s="21" t="b">
        <f t="shared" si="1"/>
        <v>1</v>
      </c>
    </row>
    <row r="31" spans="1:26" ht="39.950000000000003" customHeight="1" x14ac:dyDescent="0.25">
      <c r="A31" s="46" t="s">
        <v>37</v>
      </c>
      <c r="B31" s="44">
        <f t="shared" ref="B31:O31" si="10">B25+B28</f>
        <v>74</v>
      </c>
      <c r="C31" s="35">
        <f t="shared" si="10"/>
        <v>131487827.46999998</v>
      </c>
      <c r="D31" s="49">
        <f t="shared" si="10"/>
        <v>43493983.030000001</v>
      </c>
      <c r="E31" s="27">
        <f t="shared" si="10"/>
        <v>87993844.439999998</v>
      </c>
      <c r="F31" s="54">
        <f t="shared" si="10"/>
        <v>0</v>
      </c>
      <c r="G31" s="35">
        <f t="shared" si="10"/>
        <v>0</v>
      </c>
      <c r="H31" s="35">
        <f t="shared" si="10"/>
        <v>0</v>
      </c>
      <c r="I31" s="35">
        <f t="shared" si="10"/>
        <v>0</v>
      </c>
      <c r="J31" s="35">
        <f t="shared" si="10"/>
        <v>0</v>
      </c>
      <c r="K31" s="35">
        <f t="shared" si="10"/>
        <v>0</v>
      </c>
      <c r="L31" s="35">
        <f t="shared" si="10"/>
        <v>0</v>
      </c>
      <c r="M31" s="35">
        <f t="shared" si="10"/>
        <v>87993844.439999998</v>
      </c>
      <c r="N31" s="35">
        <f t="shared" si="10"/>
        <v>0</v>
      </c>
      <c r="O31" s="35">
        <f t="shared" si="10"/>
        <v>0</v>
      </c>
      <c r="P31" s="35">
        <f t="shared" ref="P31:Q31" si="11">P25+P28</f>
        <v>0</v>
      </c>
      <c r="Q31" s="41">
        <f t="shared" si="11"/>
        <v>0</v>
      </c>
      <c r="R31" s="13" t="b">
        <f t="shared" si="0"/>
        <v>1</v>
      </c>
      <c r="S31" s="21" t="b">
        <f t="shared" si="1"/>
        <v>1</v>
      </c>
    </row>
    <row r="32" spans="1:26" ht="39.950000000000003" customHeight="1" thickBot="1" x14ac:dyDescent="0.3">
      <c r="A32" s="88" t="s">
        <v>38</v>
      </c>
      <c r="B32" s="89">
        <f t="shared" ref="B32:O32" si="12">B26+B29</f>
        <v>6</v>
      </c>
      <c r="C32" s="90">
        <f t="shared" si="12"/>
        <v>52853609.189999998</v>
      </c>
      <c r="D32" s="91">
        <f t="shared" si="12"/>
        <v>22441989.569999997</v>
      </c>
      <c r="E32" s="92">
        <f t="shared" si="12"/>
        <v>30411619.620000001</v>
      </c>
      <c r="F32" s="93">
        <f t="shared" si="12"/>
        <v>0</v>
      </c>
      <c r="G32" s="90">
        <f t="shared" si="12"/>
        <v>0</v>
      </c>
      <c r="H32" s="90">
        <f t="shared" si="12"/>
        <v>0</v>
      </c>
      <c r="I32" s="90">
        <f t="shared" si="12"/>
        <v>0</v>
      </c>
      <c r="J32" s="90">
        <f t="shared" si="12"/>
        <v>0</v>
      </c>
      <c r="K32" s="90">
        <f t="shared" si="12"/>
        <v>0</v>
      </c>
      <c r="L32" s="90">
        <f t="shared" si="12"/>
        <v>0</v>
      </c>
      <c r="M32" s="90">
        <f t="shared" si="12"/>
        <v>11498561.620000001</v>
      </c>
      <c r="N32" s="90">
        <f t="shared" si="12"/>
        <v>18913058</v>
      </c>
      <c r="O32" s="90">
        <f t="shared" si="12"/>
        <v>0</v>
      </c>
      <c r="P32" s="90">
        <f t="shared" ref="P32:Q32" si="13">P26+P29</f>
        <v>0</v>
      </c>
      <c r="Q32" s="94">
        <f t="shared" si="13"/>
        <v>0</v>
      </c>
      <c r="R32" s="13" t="b">
        <f t="shared" si="0"/>
        <v>1</v>
      </c>
      <c r="S32" s="21" t="b">
        <f t="shared" si="1"/>
        <v>1</v>
      </c>
    </row>
    <row r="33" spans="1:19" ht="39.950000000000003" customHeight="1" thickTop="1" x14ac:dyDescent="0.25">
      <c r="A33" s="95" t="s">
        <v>32</v>
      </c>
      <c r="B33" s="96">
        <f>B20+B30</f>
        <v>157</v>
      </c>
      <c r="C33" s="97">
        <f t="shared" ref="C33:O33" si="14">C20+C30</f>
        <v>511102280.29000002</v>
      </c>
      <c r="D33" s="98">
        <f t="shared" si="14"/>
        <v>171923944.73000002</v>
      </c>
      <c r="E33" s="99">
        <f t="shared" si="14"/>
        <v>339178335.56</v>
      </c>
      <c r="F33" s="100">
        <f t="shared" si="14"/>
        <v>0</v>
      </c>
      <c r="G33" s="97">
        <f t="shared" si="14"/>
        <v>0</v>
      </c>
      <c r="H33" s="97">
        <f t="shared" si="14"/>
        <v>0</v>
      </c>
      <c r="I33" s="97">
        <f t="shared" si="14"/>
        <v>0</v>
      </c>
      <c r="J33" s="97">
        <f t="shared" si="14"/>
        <v>178965</v>
      </c>
      <c r="K33" s="97">
        <f t="shared" si="14"/>
        <v>1609121</v>
      </c>
      <c r="L33" s="97">
        <f t="shared" si="14"/>
        <v>32119864.75</v>
      </c>
      <c r="M33" s="97">
        <f t="shared" si="14"/>
        <v>248585572.81</v>
      </c>
      <c r="N33" s="97">
        <f t="shared" si="14"/>
        <v>50362061</v>
      </c>
      <c r="O33" s="97">
        <f t="shared" si="14"/>
        <v>6322751</v>
      </c>
      <c r="P33" s="97">
        <f t="shared" ref="P33:Q33" si="15">P20+P30</f>
        <v>0</v>
      </c>
      <c r="Q33" s="101">
        <f t="shared" si="15"/>
        <v>0</v>
      </c>
      <c r="R33" s="13" t="b">
        <f t="shared" si="0"/>
        <v>1</v>
      </c>
      <c r="S33" s="21" t="b">
        <f t="shared" si="1"/>
        <v>1</v>
      </c>
    </row>
    <row r="34" spans="1:19" ht="39.950000000000003" customHeight="1" x14ac:dyDescent="0.25">
      <c r="A34" s="128" t="s">
        <v>36</v>
      </c>
      <c r="B34" s="129">
        <f>B21</f>
        <v>20</v>
      </c>
      <c r="C34" s="130">
        <f t="shared" ref="C34:O34" si="16">C21</f>
        <v>124018559.86000001</v>
      </c>
      <c r="D34" s="131">
        <f t="shared" si="16"/>
        <v>37119227.859999999</v>
      </c>
      <c r="E34" s="28">
        <f t="shared" si="16"/>
        <v>86899332</v>
      </c>
      <c r="F34" s="132">
        <f t="shared" si="16"/>
        <v>0</v>
      </c>
      <c r="G34" s="130">
        <f t="shared" si="16"/>
        <v>0</v>
      </c>
      <c r="H34" s="130">
        <f t="shared" si="16"/>
        <v>0</v>
      </c>
      <c r="I34" s="130">
        <f t="shared" si="16"/>
        <v>0</v>
      </c>
      <c r="J34" s="130">
        <f t="shared" si="16"/>
        <v>178965</v>
      </c>
      <c r="K34" s="130">
        <f t="shared" si="16"/>
        <v>1609121</v>
      </c>
      <c r="L34" s="130">
        <f t="shared" si="16"/>
        <v>32119864.75</v>
      </c>
      <c r="M34" s="130">
        <f t="shared" si="16"/>
        <v>46920702.25</v>
      </c>
      <c r="N34" s="130">
        <f t="shared" si="16"/>
        <v>6070679</v>
      </c>
      <c r="O34" s="130">
        <f t="shared" si="16"/>
        <v>0</v>
      </c>
      <c r="P34" s="130">
        <f t="shared" ref="P34:Q34" si="17">P21</f>
        <v>0</v>
      </c>
      <c r="Q34" s="133">
        <f t="shared" si="17"/>
        <v>0</v>
      </c>
      <c r="R34" s="13" t="b">
        <f t="shared" si="0"/>
        <v>1</v>
      </c>
      <c r="S34" s="21" t="b">
        <f t="shared" si="1"/>
        <v>1</v>
      </c>
    </row>
    <row r="35" spans="1:19" ht="39.950000000000003" customHeight="1" x14ac:dyDescent="0.25">
      <c r="A35" s="102" t="s">
        <v>37</v>
      </c>
      <c r="B35" s="45">
        <f>B22+B31</f>
        <v>123</v>
      </c>
      <c r="C35" s="36">
        <f t="shared" ref="C35:O35" si="18">C22+C31</f>
        <v>262310334.60999995</v>
      </c>
      <c r="D35" s="50">
        <f t="shared" si="18"/>
        <v>90094286.669999987</v>
      </c>
      <c r="E35" s="56">
        <f t="shared" si="18"/>
        <v>172216047.94</v>
      </c>
      <c r="F35" s="55">
        <f t="shared" si="18"/>
        <v>0</v>
      </c>
      <c r="G35" s="36">
        <f t="shared" si="18"/>
        <v>0</v>
      </c>
      <c r="H35" s="36">
        <f t="shared" si="18"/>
        <v>0</v>
      </c>
      <c r="I35" s="36">
        <f t="shared" si="18"/>
        <v>0</v>
      </c>
      <c r="J35" s="36">
        <f t="shared" si="18"/>
        <v>0</v>
      </c>
      <c r="K35" s="36">
        <f t="shared" si="18"/>
        <v>0</v>
      </c>
      <c r="L35" s="36">
        <f t="shared" si="18"/>
        <v>0</v>
      </c>
      <c r="M35" s="36">
        <f t="shared" si="18"/>
        <v>172216047.94</v>
      </c>
      <c r="N35" s="36">
        <f t="shared" si="18"/>
        <v>0</v>
      </c>
      <c r="O35" s="36">
        <f t="shared" si="18"/>
        <v>0</v>
      </c>
      <c r="P35" s="36">
        <f t="shared" ref="P35:Q35" si="19">P22+P31</f>
        <v>0</v>
      </c>
      <c r="Q35" s="103">
        <f t="shared" si="19"/>
        <v>0</v>
      </c>
      <c r="R35" s="13" t="b">
        <f t="shared" si="0"/>
        <v>1</v>
      </c>
      <c r="S35" s="21" t="b">
        <f t="shared" si="1"/>
        <v>1</v>
      </c>
    </row>
    <row r="36" spans="1:19" ht="39.950000000000003" customHeight="1" thickBot="1" x14ac:dyDescent="0.3">
      <c r="A36" s="104" t="s">
        <v>38</v>
      </c>
      <c r="B36" s="105">
        <f>B23+B32</f>
        <v>14</v>
      </c>
      <c r="C36" s="106">
        <f t="shared" ref="C36:O36" si="20">C23+C32</f>
        <v>124773385.81999999</v>
      </c>
      <c r="D36" s="107">
        <f t="shared" si="20"/>
        <v>44710430.200000003</v>
      </c>
      <c r="E36" s="70">
        <f t="shared" si="20"/>
        <v>80062955.620000005</v>
      </c>
      <c r="F36" s="108">
        <f t="shared" si="20"/>
        <v>0</v>
      </c>
      <c r="G36" s="106">
        <f t="shared" si="20"/>
        <v>0</v>
      </c>
      <c r="H36" s="106">
        <f t="shared" si="20"/>
        <v>0</v>
      </c>
      <c r="I36" s="106">
        <f t="shared" si="20"/>
        <v>0</v>
      </c>
      <c r="J36" s="106">
        <f t="shared" si="20"/>
        <v>0</v>
      </c>
      <c r="K36" s="106">
        <f t="shared" si="20"/>
        <v>0</v>
      </c>
      <c r="L36" s="106">
        <f t="shared" si="20"/>
        <v>0</v>
      </c>
      <c r="M36" s="106">
        <f t="shared" si="20"/>
        <v>29448822.620000001</v>
      </c>
      <c r="N36" s="106">
        <f t="shared" si="20"/>
        <v>44291382</v>
      </c>
      <c r="O36" s="106">
        <f t="shared" si="20"/>
        <v>6322751</v>
      </c>
      <c r="P36" s="106">
        <f t="shared" ref="P36:Q36" si="21">P23+P32</f>
        <v>0</v>
      </c>
      <c r="Q36" s="109">
        <f t="shared" si="21"/>
        <v>0</v>
      </c>
      <c r="R36" s="13" t="b">
        <f t="shared" si="0"/>
        <v>1</v>
      </c>
      <c r="S36" s="21" t="b">
        <f t="shared" si="1"/>
        <v>1</v>
      </c>
    </row>
    <row r="37" spans="1:19" ht="15.75" thickTop="1" x14ac:dyDescent="0.25">
      <c r="B37" s="9" t="b">
        <f>B12+B16=B20</f>
        <v>1</v>
      </c>
      <c r="C37" s="9" t="b">
        <f t="shared" ref="C37:Q37" si="22">C12+C16=C20</f>
        <v>1</v>
      </c>
      <c r="D37" s="9" t="b">
        <f t="shared" si="22"/>
        <v>1</v>
      </c>
      <c r="E37" s="9" t="b">
        <f t="shared" si="22"/>
        <v>1</v>
      </c>
      <c r="F37" s="9" t="b">
        <f t="shared" si="22"/>
        <v>1</v>
      </c>
      <c r="G37" s="9" t="b">
        <f t="shared" si="22"/>
        <v>1</v>
      </c>
      <c r="H37" s="9" t="b">
        <f t="shared" si="22"/>
        <v>1</v>
      </c>
      <c r="I37" s="9" t="b">
        <f t="shared" si="22"/>
        <v>1</v>
      </c>
      <c r="J37" s="9" t="b">
        <f t="shared" si="22"/>
        <v>1</v>
      </c>
      <c r="K37" s="9" t="b">
        <f t="shared" si="22"/>
        <v>1</v>
      </c>
      <c r="L37" s="9" t="b">
        <f t="shared" si="22"/>
        <v>1</v>
      </c>
      <c r="M37" s="9" t="b">
        <f t="shared" si="22"/>
        <v>1</v>
      </c>
      <c r="N37" s="9" t="b">
        <f t="shared" si="22"/>
        <v>1</v>
      </c>
      <c r="O37" s="9" t="b">
        <f t="shared" si="22"/>
        <v>1</v>
      </c>
      <c r="P37" s="9" t="b">
        <f t="shared" si="22"/>
        <v>1</v>
      </c>
      <c r="Q37" s="9" t="b">
        <f t="shared" si="22"/>
        <v>1</v>
      </c>
    </row>
    <row r="38" spans="1:19" x14ac:dyDescent="0.25">
      <c r="B38" s="9" t="b">
        <f>B13+B17=B21</f>
        <v>1</v>
      </c>
      <c r="C38" s="9" t="b">
        <f t="shared" ref="C38:Q38" si="23">C13+C17=C21</f>
        <v>1</v>
      </c>
      <c r="D38" s="9" t="b">
        <f t="shared" si="23"/>
        <v>1</v>
      </c>
      <c r="E38" s="9" t="b">
        <f t="shared" si="23"/>
        <v>1</v>
      </c>
      <c r="F38" s="9" t="b">
        <f t="shared" si="23"/>
        <v>1</v>
      </c>
      <c r="G38" s="9" t="b">
        <f t="shared" si="23"/>
        <v>1</v>
      </c>
      <c r="H38" s="9" t="b">
        <f t="shared" si="23"/>
        <v>1</v>
      </c>
      <c r="I38" s="9" t="b">
        <f t="shared" si="23"/>
        <v>1</v>
      </c>
      <c r="J38" s="9" t="b">
        <f t="shared" si="23"/>
        <v>1</v>
      </c>
      <c r="K38" s="9" t="b">
        <f t="shared" si="23"/>
        <v>1</v>
      </c>
      <c r="L38" s="9" t="b">
        <f t="shared" si="23"/>
        <v>1</v>
      </c>
      <c r="M38" s="9" t="b">
        <f t="shared" si="23"/>
        <v>1</v>
      </c>
      <c r="N38" s="9" t="b">
        <f t="shared" si="23"/>
        <v>1</v>
      </c>
      <c r="O38" s="9" t="b">
        <f t="shared" si="23"/>
        <v>1</v>
      </c>
      <c r="P38" s="9" t="b">
        <f t="shared" si="23"/>
        <v>1</v>
      </c>
      <c r="Q38" s="9" t="b">
        <f t="shared" si="23"/>
        <v>1</v>
      </c>
    </row>
    <row r="39" spans="1:19" x14ac:dyDescent="0.25">
      <c r="B39" s="9" t="b">
        <f>B14+B18=B22</f>
        <v>1</v>
      </c>
      <c r="C39" s="9" t="b">
        <f t="shared" ref="C39:Q39" si="24">C14+C18=C22</f>
        <v>1</v>
      </c>
      <c r="D39" s="9" t="b">
        <f t="shared" si="24"/>
        <v>1</v>
      </c>
      <c r="E39" s="9" t="b">
        <f t="shared" si="24"/>
        <v>1</v>
      </c>
      <c r="F39" s="9" t="b">
        <f t="shared" si="24"/>
        <v>1</v>
      </c>
      <c r="G39" s="9" t="b">
        <f t="shared" si="24"/>
        <v>1</v>
      </c>
      <c r="H39" s="9" t="b">
        <f t="shared" si="24"/>
        <v>1</v>
      </c>
      <c r="I39" s="9" t="b">
        <f t="shared" si="24"/>
        <v>1</v>
      </c>
      <c r="J39" s="9" t="b">
        <f t="shared" si="24"/>
        <v>1</v>
      </c>
      <c r="K39" s="9" t="b">
        <f t="shared" si="24"/>
        <v>1</v>
      </c>
      <c r="L39" s="9" t="b">
        <f t="shared" si="24"/>
        <v>1</v>
      </c>
      <c r="M39" s="9" t="b">
        <f t="shared" si="24"/>
        <v>1</v>
      </c>
      <c r="N39" s="9" t="b">
        <f t="shared" si="24"/>
        <v>1</v>
      </c>
      <c r="O39" s="9" t="b">
        <f t="shared" si="24"/>
        <v>1</v>
      </c>
      <c r="P39" s="9" t="b">
        <f t="shared" si="24"/>
        <v>1</v>
      </c>
      <c r="Q39" s="9" t="b">
        <f t="shared" si="24"/>
        <v>1</v>
      </c>
    </row>
    <row r="40" spans="1:19" x14ac:dyDescent="0.25">
      <c r="B40" s="9" t="b">
        <f>B15+B19=B23</f>
        <v>1</v>
      </c>
      <c r="C40" s="9" t="b">
        <f t="shared" ref="C40:Q40" si="25">C15+C19=C23</f>
        <v>1</v>
      </c>
      <c r="D40" s="9" t="b">
        <f t="shared" si="25"/>
        <v>1</v>
      </c>
      <c r="E40" s="9" t="b">
        <f t="shared" si="25"/>
        <v>1</v>
      </c>
      <c r="F40" s="9" t="b">
        <f t="shared" si="25"/>
        <v>1</v>
      </c>
      <c r="G40" s="9" t="b">
        <f t="shared" si="25"/>
        <v>1</v>
      </c>
      <c r="H40" s="9" t="b">
        <f t="shared" si="25"/>
        <v>1</v>
      </c>
      <c r="I40" s="9" t="b">
        <f t="shared" si="25"/>
        <v>1</v>
      </c>
      <c r="J40" s="9" t="b">
        <f t="shared" si="25"/>
        <v>1</v>
      </c>
      <c r="K40" s="9" t="b">
        <f t="shared" si="25"/>
        <v>1</v>
      </c>
      <c r="L40" s="9" t="b">
        <f t="shared" si="25"/>
        <v>1</v>
      </c>
      <c r="M40" s="9" t="b">
        <f t="shared" si="25"/>
        <v>1</v>
      </c>
      <c r="N40" s="9" t="b">
        <f t="shared" si="25"/>
        <v>1</v>
      </c>
      <c r="O40" s="9" t="b">
        <f t="shared" si="25"/>
        <v>1</v>
      </c>
      <c r="P40" s="9" t="b">
        <f t="shared" si="25"/>
        <v>1</v>
      </c>
      <c r="Q40" s="9" t="b">
        <f t="shared" si="25"/>
        <v>1</v>
      </c>
    </row>
    <row r="41" spans="1:19" x14ac:dyDescent="0.25">
      <c r="B41" s="9" t="b">
        <f>B24+B27=B30</f>
        <v>1</v>
      </c>
      <c r="C41" s="9" t="b">
        <f t="shared" ref="C41:Q41" si="26">C24+C27=C30</f>
        <v>1</v>
      </c>
      <c r="D41" s="9" t="b">
        <f t="shared" si="26"/>
        <v>1</v>
      </c>
      <c r="E41" s="9" t="b">
        <f t="shared" si="26"/>
        <v>1</v>
      </c>
      <c r="F41" s="9" t="b">
        <f t="shared" si="26"/>
        <v>1</v>
      </c>
      <c r="G41" s="9" t="b">
        <f t="shared" si="26"/>
        <v>1</v>
      </c>
      <c r="H41" s="9" t="b">
        <f t="shared" si="26"/>
        <v>1</v>
      </c>
      <c r="I41" s="9" t="b">
        <f t="shared" si="26"/>
        <v>1</v>
      </c>
      <c r="J41" s="9" t="b">
        <f t="shared" si="26"/>
        <v>1</v>
      </c>
      <c r="K41" s="9" t="b">
        <f t="shared" si="26"/>
        <v>1</v>
      </c>
      <c r="L41" s="9" t="b">
        <f t="shared" si="26"/>
        <v>1</v>
      </c>
      <c r="M41" s="9" t="b">
        <f t="shared" si="26"/>
        <v>1</v>
      </c>
      <c r="N41" s="9" t="b">
        <f t="shared" si="26"/>
        <v>1</v>
      </c>
      <c r="O41" s="9" t="b">
        <f t="shared" si="26"/>
        <v>1</v>
      </c>
      <c r="P41" s="9" t="b">
        <f t="shared" si="26"/>
        <v>1</v>
      </c>
      <c r="Q41" s="9" t="b">
        <f t="shared" si="26"/>
        <v>1</v>
      </c>
    </row>
    <row r="42" spans="1:19" x14ac:dyDescent="0.25">
      <c r="B42" s="9" t="b">
        <f>B28+B25=B31</f>
        <v>1</v>
      </c>
      <c r="C42" s="9" t="b">
        <f t="shared" ref="C42:Q42" si="27">C28+C25=C31</f>
        <v>1</v>
      </c>
      <c r="D42" s="9" t="b">
        <f t="shared" si="27"/>
        <v>1</v>
      </c>
      <c r="E42" s="9" t="b">
        <f t="shared" si="27"/>
        <v>1</v>
      </c>
      <c r="F42" s="9" t="b">
        <f t="shared" si="27"/>
        <v>1</v>
      </c>
      <c r="G42" s="9" t="b">
        <f t="shared" si="27"/>
        <v>1</v>
      </c>
      <c r="H42" s="9" t="b">
        <f t="shared" si="27"/>
        <v>1</v>
      </c>
      <c r="I42" s="9" t="b">
        <f t="shared" si="27"/>
        <v>1</v>
      </c>
      <c r="J42" s="9" t="b">
        <f t="shared" si="27"/>
        <v>1</v>
      </c>
      <c r="K42" s="9" t="b">
        <f t="shared" si="27"/>
        <v>1</v>
      </c>
      <c r="L42" s="9" t="b">
        <f>L28+L25=L31</f>
        <v>1</v>
      </c>
      <c r="M42" s="9" t="b">
        <f t="shared" si="27"/>
        <v>1</v>
      </c>
      <c r="N42" s="9" t="b">
        <f t="shared" si="27"/>
        <v>1</v>
      </c>
      <c r="O42" s="9" t="b">
        <f t="shared" si="27"/>
        <v>1</v>
      </c>
      <c r="P42" s="9" t="b">
        <f t="shared" si="27"/>
        <v>1</v>
      </c>
      <c r="Q42" s="9" t="b">
        <f t="shared" si="27"/>
        <v>1</v>
      </c>
    </row>
    <row r="43" spans="1:19" x14ac:dyDescent="0.25">
      <c r="B43" s="9" t="b">
        <f>B26+B29=B32</f>
        <v>1</v>
      </c>
      <c r="C43" s="9" t="b">
        <f t="shared" ref="C43:Q43" si="28">C26+C29=C32</f>
        <v>1</v>
      </c>
      <c r="D43" s="9" t="b">
        <f t="shared" si="28"/>
        <v>1</v>
      </c>
      <c r="E43" s="9" t="b">
        <f t="shared" si="28"/>
        <v>1</v>
      </c>
      <c r="F43" s="9" t="b">
        <f t="shared" si="28"/>
        <v>1</v>
      </c>
      <c r="G43" s="9" t="b">
        <f t="shared" si="28"/>
        <v>1</v>
      </c>
      <c r="H43" s="9" t="b">
        <f t="shared" si="28"/>
        <v>1</v>
      </c>
      <c r="I43" s="9" t="b">
        <f t="shared" si="28"/>
        <v>1</v>
      </c>
      <c r="J43" s="9" t="b">
        <f t="shared" si="28"/>
        <v>1</v>
      </c>
      <c r="K43" s="9" t="b">
        <f t="shared" si="28"/>
        <v>1</v>
      </c>
      <c r="L43" s="9" t="b">
        <f t="shared" si="28"/>
        <v>1</v>
      </c>
      <c r="M43" s="9" t="b">
        <f t="shared" si="28"/>
        <v>1</v>
      </c>
      <c r="N43" s="9" t="b">
        <f t="shared" si="28"/>
        <v>1</v>
      </c>
      <c r="O43" s="9" t="b">
        <f t="shared" si="28"/>
        <v>1</v>
      </c>
      <c r="P43" s="9" t="b">
        <f t="shared" si="28"/>
        <v>1</v>
      </c>
      <c r="Q43" s="9" t="b">
        <f t="shared" si="28"/>
        <v>1</v>
      </c>
    </row>
    <row r="44" spans="1:19" x14ac:dyDescent="0.25">
      <c r="B44" s="9" t="b">
        <f>B20+B30=B33</f>
        <v>1</v>
      </c>
      <c r="C44" s="9" t="b">
        <f t="shared" ref="C44:Q44" si="29">C20+C30=C33</f>
        <v>1</v>
      </c>
      <c r="D44" s="9" t="b">
        <f t="shared" si="29"/>
        <v>1</v>
      </c>
      <c r="E44" s="9" t="b">
        <f t="shared" si="29"/>
        <v>1</v>
      </c>
      <c r="F44" s="9" t="b">
        <f t="shared" si="29"/>
        <v>1</v>
      </c>
      <c r="G44" s="9" t="b">
        <f t="shared" si="29"/>
        <v>1</v>
      </c>
      <c r="H44" s="9" t="b">
        <f t="shared" si="29"/>
        <v>1</v>
      </c>
      <c r="I44" s="9" t="b">
        <f t="shared" si="29"/>
        <v>1</v>
      </c>
      <c r="J44" s="9" t="b">
        <f t="shared" si="29"/>
        <v>1</v>
      </c>
      <c r="K44" s="9" t="b">
        <f t="shared" si="29"/>
        <v>1</v>
      </c>
      <c r="L44" s="9" t="b">
        <f t="shared" si="29"/>
        <v>1</v>
      </c>
      <c r="M44" s="9" t="b">
        <f t="shared" si="29"/>
        <v>1</v>
      </c>
      <c r="N44" s="9" t="b">
        <f t="shared" si="29"/>
        <v>1</v>
      </c>
      <c r="O44" s="9" t="b">
        <f t="shared" si="29"/>
        <v>1</v>
      </c>
      <c r="P44" s="9" t="b">
        <f t="shared" si="29"/>
        <v>1</v>
      </c>
      <c r="Q44" s="9" t="b">
        <f t="shared" si="29"/>
        <v>1</v>
      </c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62" orientation="landscape" r:id="rId1"/>
  <headerFooter>
    <oddHeader>&amp;LWojewództwo świętokrzyskie</oddHeader>
  </headerFooter>
  <ignoredErrors>
    <ignoredError sqref="F12:Q12 F16:Q16 F24:Q26 F30:Q32 F27:Q27" formulaRange="1"/>
    <ignoredError sqref="F42:Q42 B42:E4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3"/>
  <sheetViews>
    <sheetView showGridLines="0" view="pageBreakPreview" zoomScaleNormal="90" zoomScaleSheetLayoutView="100" workbookViewId="0">
      <selection sqref="A1:A2"/>
    </sheetView>
  </sheetViews>
  <sheetFormatPr defaultColWidth="9.140625" defaultRowHeight="15" x14ac:dyDescent="0.25"/>
  <cols>
    <col min="1" max="1" width="5.7109375" customWidth="1"/>
    <col min="2" max="2" width="13.7109375" customWidth="1"/>
    <col min="3" max="3" width="18.7109375" customWidth="1"/>
    <col min="4" max="4" width="15.7109375" customWidth="1"/>
    <col min="5" max="5" width="7.7109375" customWidth="1"/>
    <col min="6" max="6" width="53.7109375" customWidth="1"/>
    <col min="7" max="7" width="13.7109375" customWidth="1"/>
    <col min="8" max="12" width="14.7109375" customWidth="1"/>
    <col min="13" max="13" width="15.7109375" style="1" customWidth="1"/>
    <col min="14" max="17" width="11.7109375" customWidth="1"/>
    <col min="18" max="21" width="15.7109375" customWidth="1"/>
    <col min="22" max="22" width="16.7109375" customWidth="1"/>
    <col min="23" max="25" width="11.7109375" customWidth="1"/>
    <col min="26" max="26" width="15.7109375" style="22" customWidth="1"/>
    <col min="27" max="28" width="15.7109375" style="1" customWidth="1"/>
    <col min="29" max="29" width="15.7109375" style="22" customWidth="1"/>
  </cols>
  <sheetData>
    <row r="1" spans="1:29" ht="18" customHeight="1" x14ac:dyDescent="0.25">
      <c r="A1" s="337" t="s">
        <v>4</v>
      </c>
      <c r="B1" s="337" t="s">
        <v>5</v>
      </c>
      <c r="C1" s="344" t="s">
        <v>42</v>
      </c>
      <c r="D1" s="340" t="s">
        <v>6</v>
      </c>
      <c r="E1" s="340" t="s">
        <v>31</v>
      </c>
      <c r="F1" s="340" t="s">
        <v>7</v>
      </c>
      <c r="G1" s="337" t="s">
        <v>25</v>
      </c>
      <c r="H1" s="337" t="s">
        <v>8</v>
      </c>
      <c r="I1" s="337" t="s">
        <v>22</v>
      </c>
      <c r="J1" s="337" t="s">
        <v>9</v>
      </c>
      <c r="K1" s="337" t="s">
        <v>16</v>
      </c>
      <c r="L1" s="340" t="s">
        <v>13</v>
      </c>
      <c r="M1" s="337" t="s">
        <v>11</v>
      </c>
      <c r="N1" s="338" t="s">
        <v>12</v>
      </c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1"/>
    </row>
    <row r="2" spans="1:29" ht="18" customHeight="1" x14ac:dyDescent="0.25">
      <c r="A2" s="337"/>
      <c r="B2" s="337"/>
      <c r="C2" s="345"/>
      <c r="D2" s="341"/>
      <c r="E2" s="341"/>
      <c r="F2" s="341"/>
      <c r="G2" s="337"/>
      <c r="H2" s="337"/>
      <c r="I2" s="337"/>
      <c r="J2" s="337"/>
      <c r="K2" s="337"/>
      <c r="L2" s="341"/>
      <c r="M2" s="337"/>
      <c r="N2" s="150">
        <v>2019</v>
      </c>
      <c r="O2" s="150">
        <v>2020</v>
      </c>
      <c r="P2" s="150">
        <v>2021</v>
      </c>
      <c r="Q2" s="150">
        <v>2022</v>
      </c>
      <c r="R2" s="150">
        <v>2023</v>
      </c>
      <c r="S2" s="150">
        <v>2024</v>
      </c>
      <c r="T2" s="150">
        <v>2025</v>
      </c>
      <c r="U2" s="150">
        <v>2026</v>
      </c>
      <c r="V2" s="150">
        <v>2027</v>
      </c>
      <c r="W2" s="150">
        <v>2028</v>
      </c>
      <c r="X2" s="150">
        <v>2029</v>
      </c>
      <c r="Y2" s="150">
        <v>2030</v>
      </c>
      <c r="Z2" s="1" t="s">
        <v>27</v>
      </c>
      <c r="AA2" s="1" t="s">
        <v>28</v>
      </c>
      <c r="AB2" s="1" t="s">
        <v>29</v>
      </c>
      <c r="AC2" s="1" t="s">
        <v>30</v>
      </c>
    </row>
    <row r="3" spans="1:29" ht="29.25" customHeight="1" x14ac:dyDescent="0.25">
      <c r="A3" s="143">
        <v>1</v>
      </c>
      <c r="B3" s="221" t="s">
        <v>51</v>
      </c>
      <c r="C3" s="222" t="s">
        <v>47</v>
      </c>
      <c r="D3" s="223" t="s">
        <v>48</v>
      </c>
      <c r="E3" s="224">
        <v>2604</v>
      </c>
      <c r="F3" s="173" t="s">
        <v>52</v>
      </c>
      <c r="G3" s="225" t="s">
        <v>49</v>
      </c>
      <c r="H3" s="174">
        <v>3.5249999999999999</v>
      </c>
      <c r="I3" s="226" t="s">
        <v>53</v>
      </c>
      <c r="J3" s="227">
        <v>7260668.7199999997</v>
      </c>
      <c r="K3" s="228">
        <v>4356401</v>
      </c>
      <c r="L3" s="229">
        <v>2904267.7199999997</v>
      </c>
      <c r="M3" s="230">
        <v>0.6</v>
      </c>
      <c r="N3" s="231">
        <v>0</v>
      </c>
      <c r="O3" s="231">
        <v>0</v>
      </c>
      <c r="P3" s="231">
        <v>0</v>
      </c>
      <c r="Q3" s="175">
        <v>0</v>
      </c>
      <c r="R3" s="175">
        <v>64575</v>
      </c>
      <c r="S3" s="176">
        <v>64575</v>
      </c>
      <c r="T3" s="176">
        <v>2400000</v>
      </c>
      <c r="U3" s="176">
        <v>1827251</v>
      </c>
      <c r="V3" s="29"/>
      <c r="W3" s="29"/>
      <c r="X3" s="29"/>
      <c r="Y3" s="29"/>
      <c r="Z3" s="1" t="b">
        <f t="shared" ref="Z3:Z28" si="0">K3=SUM(N3:Y3)</f>
        <v>1</v>
      </c>
      <c r="AA3" s="23">
        <f t="shared" ref="AA3:AA27" si="1">ROUND(K3/J3,4)</f>
        <v>0.6</v>
      </c>
      <c r="AB3" s="24" t="b">
        <f t="shared" ref="AB3:AB4" si="2">AA3=M3</f>
        <v>1</v>
      </c>
      <c r="AC3" s="24" t="b">
        <f t="shared" ref="AC3:AC27" si="3">J3=K3+L3</f>
        <v>1</v>
      </c>
    </row>
    <row r="4" spans="1:29" ht="24" x14ac:dyDescent="0.25">
      <c r="A4" s="143">
        <v>2</v>
      </c>
      <c r="B4" s="221" t="s">
        <v>54</v>
      </c>
      <c r="C4" s="222" t="s">
        <v>47</v>
      </c>
      <c r="D4" s="223" t="s">
        <v>48</v>
      </c>
      <c r="E4" s="224">
        <v>2604</v>
      </c>
      <c r="F4" s="173" t="s">
        <v>55</v>
      </c>
      <c r="G4" s="225" t="s">
        <v>50</v>
      </c>
      <c r="H4" s="174">
        <v>2.968</v>
      </c>
      <c r="I4" s="226" t="s">
        <v>53</v>
      </c>
      <c r="J4" s="227">
        <v>9985631.4499999993</v>
      </c>
      <c r="K4" s="228">
        <v>5991378</v>
      </c>
      <c r="L4" s="229">
        <v>3994253.4499999993</v>
      </c>
      <c r="M4" s="230">
        <v>0.6</v>
      </c>
      <c r="N4" s="231">
        <v>0</v>
      </c>
      <c r="O4" s="231">
        <v>0</v>
      </c>
      <c r="P4" s="231">
        <v>0</v>
      </c>
      <c r="Q4" s="175">
        <v>0</v>
      </c>
      <c r="R4" s="175">
        <v>114390</v>
      </c>
      <c r="S4" s="176">
        <v>114390</v>
      </c>
      <c r="T4" s="176">
        <v>2880000</v>
      </c>
      <c r="U4" s="176">
        <v>2882598</v>
      </c>
      <c r="V4" s="29"/>
      <c r="W4" s="29"/>
      <c r="X4" s="29"/>
      <c r="Y4" s="29"/>
      <c r="Z4" s="1" t="b">
        <f t="shared" si="0"/>
        <v>1</v>
      </c>
      <c r="AA4" s="23">
        <f t="shared" si="1"/>
        <v>0.6</v>
      </c>
      <c r="AB4" s="24" t="b">
        <f t="shared" si="2"/>
        <v>1</v>
      </c>
      <c r="AC4" s="24" t="b">
        <f t="shared" si="3"/>
        <v>1</v>
      </c>
    </row>
    <row r="5" spans="1:29" ht="24" x14ac:dyDescent="0.25">
      <c r="A5" s="143">
        <v>3</v>
      </c>
      <c r="B5" s="178" t="s">
        <v>84</v>
      </c>
      <c r="C5" s="222" t="s">
        <v>47</v>
      </c>
      <c r="D5" s="216" t="s">
        <v>48</v>
      </c>
      <c r="E5" s="212">
        <v>2604</v>
      </c>
      <c r="F5" s="185" t="s">
        <v>86</v>
      </c>
      <c r="G5" s="181" t="s">
        <v>49</v>
      </c>
      <c r="H5" s="232">
        <v>1.026</v>
      </c>
      <c r="I5" s="185" t="s">
        <v>87</v>
      </c>
      <c r="J5" s="197">
        <v>7637760.1900000004</v>
      </c>
      <c r="K5" s="190">
        <v>5346432</v>
      </c>
      <c r="L5" s="190">
        <v>2291328.1900000004</v>
      </c>
      <c r="M5" s="192">
        <v>0.7</v>
      </c>
      <c r="N5" s="147">
        <v>0</v>
      </c>
      <c r="O5" s="147">
        <v>0</v>
      </c>
      <c r="P5" s="148">
        <v>0</v>
      </c>
      <c r="Q5" s="148">
        <v>0</v>
      </c>
      <c r="R5" s="148">
        <v>0</v>
      </c>
      <c r="S5" s="148">
        <v>0</v>
      </c>
      <c r="T5" s="148">
        <v>1400000</v>
      </c>
      <c r="U5" s="148">
        <v>3946432</v>
      </c>
      <c r="V5" s="31"/>
      <c r="W5" s="31"/>
      <c r="X5" s="31"/>
      <c r="Y5" s="31"/>
      <c r="Z5" s="1" t="b">
        <f t="shared" ref="Z5" si="4">K5=SUM(N5:Y5)</f>
        <v>1</v>
      </c>
      <c r="AA5" s="23">
        <f t="shared" ref="AA5" si="5">ROUND(K5/J5,4)</f>
        <v>0.7</v>
      </c>
      <c r="AB5" s="24" t="b">
        <f t="shared" ref="AB5" si="6">AA5=M5</f>
        <v>1</v>
      </c>
      <c r="AC5" s="24" t="b">
        <f t="shared" ref="AC5" si="7">J5=K5+L5</f>
        <v>1</v>
      </c>
    </row>
    <row r="6" spans="1:29" ht="15" customHeight="1" x14ac:dyDescent="0.25">
      <c r="A6" s="143">
        <v>4</v>
      </c>
      <c r="B6" s="178" t="s">
        <v>88</v>
      </c>
      <c r="C6" s="222" t="s">
        <v>47</v>
      </c>
      <c r="D6" s="216" t="s">
        <v>57</v>
      </c>
      <c r="E6" s="212">
        <v>2607</v>
      </c>
      <c r="F6" s="185" t="s">
        <v>89</v>
      </c>
      <c r="G6" s="181" t="s">
        <v>49</v>
      </c>
      <c r="H6" s="232">
        <v>0.80100000000000005</v>
      </c>
      <c r="I6" s="185" t="s">
        <v>87</v>
      </c>
      <c r="J6" s="197">
        <v>13965346.310000001</v>
      </c>
      <c r="K6" s="190">
        <v>9775742</v>
      </c>
      <c r="L6" s="190">
        <v>4189604.31</v>
      </c>
      <c r="M6" s="192">
        <v>0.7</v>
      </c>
      <c r="N6" s="147">
        <v>0</v>
      </c>
      <c r="O6" s="147">
        <v>0</v>
      </c>
      <c r="P6" s="148">
        <v>0</v>
      </c>
      <c r="Q6" s="148">
        <v>0</v>
      </c>
      <c r="R6" s="148">
        <v>0</v>
      </c>
      <c r="S6" s="148">
        <v>0</v>
      </c>
      <c r="T6" s="148">
        <v>6181541</v>
      </c>
      <c r="U6" s="148">
        <v>3594201</v>
      </c>
      <c r="V6" s="31"/>
      <c r="W6" s="31"/>
      <c r="X6" s="31"/>
      <c r="Y6" s="31"/>
      <c r="Z6" s="1" t="b">
        <f t="shared" ref="Z6" si="8">K6=SUM(N6:Y6)</f>
        <v>1</v>
      </c>
      <c r="AA6" s="23">
        <f t="shared" ref="AA6" si="9">ROUND(K6/J6,4)</f>
        <v>0.7</v>
      </c>
      <c r="AB6" s="24" t="b">
        <f t="shared" ref="AB6" si="10">AA6=M6</f>
        <v>1</v>
      </c>
      <c r="AC6" s="24" t="b">
        <f t="shared" ref="AC6" si="11">J6=K6+L6</f>
        <v>1</v>
      </c>
    </row>
    <row r="7" spans="1:29" ht="36" x14ac:dyDescent="0.25">
      <c r="A7" s="143">
        <v>5</v>
      </c>
      <c r="B7" s="178" t="s">
        <v>90</v>
      </c>
      <c r="C7" s="222" t="s">
        <v>47</v>
      </c>
      <c r="D7" s="216" t="s">
        <v>48</v>
      </c>
      <c r="E7" s="212">
        <v>2604</v>
      </c>
      <c r="F7" s="185" t="s">
        <v>91</v>
      </c>
      <c r="G7" s="181" t="s">
        <v>49</v>
      </c>
      <c r="H7" s="232">
        <v>3.4009999999999998</v>
      </c>
      <c r="I7" s="185" t="s">
        <v>92</v>
      </c>
      <c r="J7" s="197">
        <v>7963024.9699999997</v>
      </c>
      <c r="K7" s="190">
        <v>5574117</v>
      </c>
      <c r="L7" s="190">
        <v>2388907.9699999997</v>
      </c>
      <c r="M7" s="192">
        <v>0.7</v>
      </c>
      <c r="N7" s="147">
        <v>0</v>
      </c>
      <c r="O7" s="147">
        <v>0</v>
      </c>
      <c r="P7" s="148">
        <v>0</v>
      </c>
      <c r="Q7" s="148">
        <v>0</v>
      </c>
      <c r="R7" s="148">
        <v>0</v>
      </c>
      <c r="S7" s="148">
        <v>0</v>
      </c>
      <c r="T7" s="220">
        <v>1203449</v>
      </c>
      <c r="U7" s="148">
        <v>4370668</v>
      </c>
      <c r="V7" s="31"/>
      <c r="W7" s="31"/>
      <c r="X7" s="31"/>
      <c r="Y7" s="31"/>
      <c r="Z7" s="1" t="b">
        <f t="shared" ref="Z7" si="12">K7=SUM(N7:Y7)</f>
        <v>1</v>
      </c>
      <c r="AA7" s="23">
        <f t="shared" ref="AA7" si="13">ROUND(K7/J7,4)</f>
        <v>0.7</v>
      </c>
      <c r="AB7" s="24" t="b">
        <f t="shared" ref="AB7" si="14">AA7=M7</f>
        <v>1</v>
      </c>
      <c r="AC7" s="24" t="b">
        <f t="shared" ref="AC7" si="15">J7=K7+L7</f>
        <v>1</v>
      </c>
    </row>
    <row r="8" spans="1:29" ht="24" x14ac:dyDescent="0.25">
      <c r="A8" s="143">
        <v>6</v>
      </c>
      <c r="B8" s="178" t="s">
        <v>115</v>
      </c>
      <c r="C8" s="222" t="s">
        <v>47</v>
      </c>
      <c r="D8" s="216" t="s">
        <v>58</v>
      </c>
      <c r="E8" s="212">
        <v>2610</v>
      </c>
      <c r="F8" s="185" t="s">
        <v>116</v>
      </c>
      <c r="G8" s="181" t="s">
        <v>49</v>
      </c>
      <c r="H8" s="232">
        <v>2.629</v>
      </c>
      <c r="I8" s="185" t="s">
        <v>117</v>
      </c>
      <c r="J8" s="197">
        <v>7231866.4199999999</v>
      </c>
      <c r="K8" s="190">
        <v>4339119</v>
      </c>
      <c r="L8" s="190">
        <f>J8-K8</f>
        <v>2892747.42</v>
      </c>
      <c r="M8" s="192">
        <v>0.6</v>
      </c>
      <c r="N8" s="147">
        <v>0</v>
      </c>
      <c r="O8" s="147">
        <v>0</v>
      </c>
      <c r="P8" s="148">
        <v>0</v>
      </c>
      <c r="Q8" s="148">
        <v>0</v>
      </c>
      <c r="R8" s="148">
        <v>0</v>
      </c>
      <c r="S8" s="148">
        <v>0</v>
      </c>
      <c r="T8" s="220">
        <v>1355000</v>
      </c>
      <c r="U8" s="148">
        <v>2984119</v>
      </c>
      <c r="V8" s="31"/>
      <c r="W8" s="31"/>
      <c r="X8" s="31"/>
      <c r="Y8" s="31"/>
      <c r="Z8" s="1" t="b">
        <f t="shared" ref="Z8" si="16">K8=SUM(N8:Y8)</f>
        <v>1</v>
      </c>
      <c r="AA8" s="23">
        <f t="shared" ref="AA8" si="17">ROUND(K8/J8,4)</f>
        <v>0.6</v>
      </c>
      <c r="AB8" s="24" t="b">
        <f t="shared" ref="AB8" si="18">AA8=M8</f>
        <v>1</v>
      </c>
      <c r="AC8" s="24" t="b">
        <f t="shared" ref="AC8" si="19">J8=K8+L8</f>
        <v>1</v>
      </c>
    </row>
    <row r="9" spans="1:29" ht="24" x14ac:dyDescent="0.25">
      <c r="A9" s="299">
        <v>7</v>
      </c>
      <c r="B9" s="178" t="s">
        <v>93</v>
      </c>
      <c r="C9" s="222" t="s">
        <v>47</v>
      </c>
      <c r="D9" s="216" t="s">
        <v>57</v>
      </c>
      <c r="E9" s="212">
        <v>2607</v>
      </c>
      <c r="F9" s="216" t="s">
        <v>94</v>
      </c>
      <c r="G9" s="181" t="s">
        <v>49</v>
      </c>
      <c r="H9" s="232">
        <v>1.135</v>
      </c>
      <c r="I9" s="185" t="s">
        <v>87</v>
      </c>
      <c r="J9" s="197">
        <v>8752518.9499999993</v>
      </c>
      <c r="K9" s="190">
        <v>6126763</v>
      </c>
      <c r="L9" s="190">
        <f>J9-K9</f>
        <v>2625755.9499999993</v>
      </c>
      <c r="M9" s="192">
        <v>0.7</v>
      </c>
      <c r="N9" s="147">
        <v>0</v>
      </c>
      <c r="O9" s="147">
        <v>0</v>
      </c>
      <c r="P9" s="148">
        <v>0</v>
      </c>
      <c r="Q9" s="148">
        <v>0</v>
      </c>
      <c r="R9" s="148">
        <v>0</v>
      </c>
      <c r="S9" s="148">
        <v>0</v>
      </c>
      <c r="T9" s="220">
        <v>1000</v>
      </c>
      <c r="U9" s="148">
        <v>6125763</v>
      </c>
      <c r="V9" s="31"/>
      <c r="W9" s="31"/>
      <c r="X9" s="31"/>
      <c r="Y9" s="31"/>
      <c r="Z9" s="1" t="b">
        <f t="shared" ref="Z9:Z24" si="20">K9=SUM(N9:Y9)</f>
        <v>1</v>
      </c>
      <c r="AA9" s="23">
        <f t="shared" ref="AA9:AA24" si="21">ROUND(K9/J9,4)</f>
        <v>0.7</v>
      </c>
      <c r="AB9" s="24" t="b">
        <f t="shared" ref="AB9:AB24" si="22">AA9=M9</f>
        <v>1</v>
      </c>
      <c r="AC9" s="24" t="b">
        <f t="shared" ref="AC9:AC24" si="23">J9=K9+L9</f>
        <v>1</v>
      </c>
    </row>
    <row r="10" spans="1:29" s="265" customFormat="1" ht="36" x14ac:dyDescent="0.25">
      <c r="A10" s="141">
        <v>8</v>
      </c>
      <c r="B10" s="237" t="s">
        <v>274</v>
      </c>
      <c r="C10" s="177" t="s">
        <v>121</v>
      </c>
      <c r="D10" s="180" t="s">
        <v>478</v>
      </c>
      <c r="E10" s="214">
        <v>2612</v>
      </c>
      <c r="F10" s="183" t="s">
        <v>275</v>
      </c>
      <c r="G10" s="141" t="s">
        <v>50</v>
      </c>
      <c r="H10" s="186">
        <v>1.325</v>
      </c>
      <c r="I10" s="183" t="s">
        <v>242</v>
      </c>
      <c r="J10" s="188">
        <v>2170669.6</v>
      </c>
      <c r="K10" s="196">
        <v>1302401</v>
      </c>
      <c r="L10" s="196">
        <v>868268.6</v>
      </c>
      <c r="M10" s="215">
        <v>0.6</v>
      </c>
      <c r="N10" s="193">
        <v>0</v>
      </c>
      <c r="O10" s="193">
        <v>0</v>
      </c>
      <c r="P10" s="209">
        <v>0</v>
      </c>
      <c r="Q10" s="209">
        <v>0</v>
      </c>
      <c r="R10" s="209">
        <v>0</v>
      </c>
      <c r="S10" s="213">
        <v>0</v>
      </c>
      <c r="T10" s="213">
        <v>0</v>
      </c>
      <c r="U10" s="209">
        <v>1302401</v>
      </c>
      <c r="V10" s="31"/>
      <c r="W10" s="31"/>
      <c r="X10" s="31"/>
      <c r="Y10" s="286"/>
      <c r="Z10" s="262" t="b">
        <f t="shared" si="20"/>
        <v>1</v>
      </c>
      <c r="AA10" s="263">
        <f t="shared" si="21"/>
        <v>0.6</v>
      </c>
      <c r="AB10" s="264" t="b">
        <f t="shared" si="22"/>
        <v>1</v>
      </c>
      <c r="AC10" s="264" t="b">
        <f t="shared" si="23"/>
        <v>1</v>
      </c>
    </row>
    <row r="11" spans="1:29" s="261" customFormat="1" ht="48" x14ac:dyDescent="0.25">
      <c r="A11" s="143">
        <v>9</v>
      </c>
      <c r="B11" s="251" t="s">
        <v>263</v>
      </c>
      <c r="C11" s="142" t="s">
        <v>85</v>
      </c>
      <c r="D11" s="181" t="s">
        <v>58</v>
      </c>
      <c r="E11" s="217">
        <v>2610</v>
      </c>
      <c r="F11" s="185" t="s">
        <v>264</v>
      </c>
      <c r="G11" s="143" t="s">
        <v>49</v>
      </c>
      <c r="H11" s="187">
        <v>0.57799999999999996</v>
      </c>
      <c r="I11" s="185" t="s">
        <v>265</v>
      </c>
      <c r="J11" s="252">
        <v>7128976.5</v>
      </c>
      <c r="K11" s="197">
        <v>4277385</v>
      </c>
      <c r="L11" s="197">
        <v>2851591.5</v>
      </c>
      <c r="M11" s="218">
        <v>0.6</v>
      </c>
      <c r="N11" s="147">
        <v>0</v>
      </c>
      <c r="O11" s="147">
        <v>0</v>
      </c>
      <c r="P11" s="148">
        <v>0</v>
      </c>
      <c r="Q11" s="148">
        <v>0</v>
      </c>
      <c r="R11" s="148">
        <v>0</v>
      </c>
      <c r="S11" s="198">
        <v>0</v>
      </c>
      <c r="T11" s="198">
        <v>0</v>
      </c>
      <c r="U11" s="148">
        <v>2138693</v>
      </c>
      <c r="V11" s="148">
        <v>2138692</v>
      </c>
      <c r="W11" s="146"/>
      <c r="X11" s="146"/>
      <c r="Y11" s="287"/>
      <c r="Z11" s="262" t="b">
        <f t="shared" si="20"/>
        <v>1</v>
      </c>
      <c r="AA11" s="263">
        <f t="shared" si="21"/>
        <v>0.6</v>
      </c>
      <c r="AB11" s="264" t="b">
        <f t="shared" si="22"/>
        <v>1</v>
      </c>
      <c r="AC11" s="264" t="b">
        <f t="shared" si="23"/>
        <v>1</v>
      </c>
    </row>
    <row r="12" spans="1:29" s="261" customFormat="1" ht="41.25" customHeight="1" x14ac:dyDescent="0.25">
      <c r="A12" s="143">
        <v>10</v>
      </c>
      <c r="B12" s="251" t="s">
        <v>284</v>
      </c>
      <c r="C12" s="142" t="s">
        <v>85</v>
      </c>
      <c r="D12" s="181" t="s">
        <v>57</v>
      </c>
      <c r="E12" s="217">
        <v>2607</v>
      </c>
      <c r="F12" s="185" t="s">
        <v>285</v>
      </c>
      <c r="G12" s="143" t="s">
        <v>49</v>
      </c>
      <c r="H12" s="187">
        <v>0.5</v>
      </c>
      <c r="I12" s="185" t="s">
        <v>286</v>
      </c>
      <c r="J12" s="252">
        <v>11501540.33</v>
      </c>
      <c r="K12" s="197">
        <v>6900924</v>
      </c>
      <c r="L12" s="197">
        <v>4600616.33</v>
      </c>
      <c r="M12" s="218">
        <v>0.6</v>
      </c>
      <c r="N12" s="147">
        <v>0</v>
      </c>
      <c r="O12" s="147">
        <v>0</v>
      </c>
      <c r="P12" s="148">
        <v>0</v>
      </c>
      <c r="Q12" s="148">
        <v>0</v>
      </c>
      <c r="R12" s="148">
        <v>0</v>
      </c>
      <c r="S12" s="198">
        <v>0</v>
      </c>
      <c r="T12" s="198">
        <v>0</v>
      </c>
      <c r="U12" s="148">
        <v>3450462</v>
      </c>
      <c r="V12" s="148">
        <v>3450462</v>
      </c>
      <c r="W12" s="146"/>
      <c r="X12" s="146"/>
      <c r="Y12" s="287"/>
      <c r="Z12" s="262" t="b">
        <f t="shared" ref="Z12:Z19" si="24">K12=SUM(N12:Y12)</f>
        <v>1</v>
      </c>
      <c r="AA12" s="263">
        <f t="shared" ref="AA12:AA19" si="25">ROUND(K12/J12,4)</f>
        <v>0.6</v>
      </c>
      <c r="AB12" s="264" t="b">
        <f t="shared" ref="AB12:AB19" si="26">AA12=M12</f>
        <v>1</v>
      </c>
      <c r="AC12" s="264" t="b">
        <f t="shared" ref="AC12:AC19" si="27">J12=K12+L12</f>
        <v>1</v>
      </c>
    </row>
    <row r="13" spans="1:29" s="265" customFormat="1" ht="48" x14ac:dyDescent="0.25">
      <c r="A13" s="141">
        <v>11</v>
      </c>
      <c r="B13" s="237" t="s">
        <v>118</v>
      </c>
      <c r="C13" s="177" t="s">
        <v>121</v>
      </c>
      <c r="D13" s="180" t="s">
        <v>479</v>
      </c>
      <c r="E13" s="214">
        <v>2603</v>
      </c>
      <c r="F13" s="183" t="s">
        <v>119</v>
      </c>
      <c r="G13" s="141" t="s">
        <v>50</v>
      </c>
      <c r="H13" s="186">
        <v>4.1710000000000003</v>
      </c>
      <c r="I13" s="183" t="s">
        <v>120</v>
      </c>
      <c r="J13" s="188">
        <v>7882522.5800000001</v>
      </c>
      <c r="K13" s="196">
        <v>4729513</v>
      </c>
      <c r="L13" s="196">
        <v>3153009.58</v>
      </c>
      <c r="M13" s="215">
        <v>0.6</v>
      </c>
      <c r="N13" s="193">
        <v>0</v>
      </c>
      <c r="O13" s="193">
        <v>0</v>
      </c>
      <c r="P13" s="209">
        <v>0</v>
      </c>
      <c r="Q13" s="209">
        <v>0</v>
      </c>
      <c r="R13" s="209">
        <v>0</v>
      </c>
      <c r="S13" s="213">
        <v>0</v>
      </c>
      <c r="T13" s="213">
        <v>0</v>
      </c>
      <c r="U13" s="209">
        <v>4729513</v>
      </c>
      <c r="V13" s="31"/>
      <c r="W13" s="31"/>
      <c r="X13" s="31"/>
      <c r="Y13" s="286"/>
      <c r="Z13" s="262" t="b">
        <f t="shared" si="24"/>
        <v>1</v>
      </c>
      <c r="AA13" s="263">
        <f t="shared" si="25"/>
        <v>0.6</v>
      </c>
      <c r="AB13" s="264" t="b">
        <f t="shared" si="26"/>
        <v>1</v>
      </c>
      <c r="AC13" s="264" t="b">
        <f t="shared" si="27"/>
        <v>1</v>
      </c>
    </row>
    <row r="14" spans="1:29" s="265" customFormat="1" ht="31.5" customHeight="1" x14ac:dyDescent="0.25">
      <c r="A14" s="141">
        <v>12</v>
      </c>
      <c r="B14" s="237" t="s">
        <v>125</v>
      </c>
      <c r="C14" s="177" t="s">
        <v>121</v>
      </c>
      <c r="D14" s="180" t="s">
        <v>480</v>
      </c>
      <c r="E14" s="214">
        <v>2609</v>
      </c>
      <c r="F14" s="183" t="s">
        <v>126</v>
      </c>
      <c r="G14" s="141" t="s">
        <v>50</v>
      </c>
      <c r="H14" s="186">
        <v>1.9670000000000001</v>
      </c>
      <c r="I14" s="183" t="s">
        <v>127</v>
      </c>
      <c r="J14" s="188">
        <v>3925845.17</v>
      </c>
      <c r="K14" s="196">
        <v>2748091</v>
      </c>
      <c r="L14" s="196">
        <v>1177754.17</v>
      </c>
      <c r="M14" s="215">
        <v>0.7</v>
      </c>
      <c r="N14" s="193">
        <v>0</v>
      </c>
      <c r="O14" s="193">
        <v>0</v>
      </c>
      <c r="P14" s="209">
        <v>0</v>
      </c>
      <c r="Q14" s="209">
        <v>0</v>
      </c>
      <c r="R14" s="209">
        <v>0</v>
      </c>
      <c r="S14" s="213">
        <v>0</v>
      </c>
      <c r="T14" s="213">
        <v>0</v>
      </c>
      <c r="U14" s="209">
        <v>2748091</v>
      </c>
      <c r="V14" s="209"/>
      <c r="W14" s="31"/>
      <c r="X14" s="31"/>
      <c r="Y14" s="286"/>
      <c r="Z14" s="262" t="b">
        <f t="shared" si="24"/>
        <v>1</v>
      </c>
      <c r="AA14" s="263">
        <f t="shared" si="25"/>
        <v>0.7</v>
      </c>
      <c r="AB14" s="264" t="b">
        <f t="shared" si="26"/>
        <v>1</v>
      </c>
      <c r="AC14" s="264" t="b">
        <f t="shared" si="27"/>
        <v>1</v>
      </c>
    </row>
    <row r="15" spans="1:29" s="265" customFormat="1" ht="24" x14ac:dyDescent="0.25">
      <c r="A15" s="141">
        <v>13</v>
      </c>
      <c r="B15" s="237" t="s">
        <v>272</v>
      </c>
      <c r="C15" s="177" t="s">
        <v>121</v>
      </c>
      <c r="D15" s="180" t="s">
        <v>480</v>
      </c>
      <c r="E15" s="214">
        <v>2609</v>
      </c>
      <c r="F15" s="183" t="s">
        <v>273</v>
      </c>
      <c r="G15" s="141" t="s">
        <v>50</v>
      </c>
      <c r="H15" s="186">
        <v>1.633</v>
      </c>
      <c r="I15" s="183" t="s">
        <v>127</v>
      </c>
      <c r="J15" s="188">
        <v>2912307.09</v>
      </c>
      <c r="K15" s="196">
        <v>2038614</v>
      </c>
      <c r="L15" s="196">
        <v>873693.09</v>
      </c>
      <c r="M15" s="215">
        <v>0.7</v>
      </c>
      <c r="N15" s="193">
        <v>0</v>
      </c>
      <c r="O15" s="193">
        <v>0</v>
      </c>
      <c r="P15" s="209">
        <v>0</v>
      </c>
      <c r="Q15" s="209">
        <v>0</v>
      </c>
      <c r="R15" s="209">
        <v>0</v>
      </c>
      <c r="S15" s="213">
        <v>0</v>
      </c>
      <c r="T15" s="213">
        <v>0</v>
      </c>
      <c r="U15" s="209">
        <v>2038614</v>
      </c>
      <c r="V15" s="31"/>
      <c r="W15" s="31"/>
      <c r="X15" s="31"/>
      <c r="Y15" s="286"/>
      <c r="Z15" s="262" t="b">
        <f t="shared" si="24"/>
        <v>1</v>
      </c>
      <c r="AA15" s="263">
        <f t="shared" si="25"/>
        <v>0.7</v>
      </c>
      <c r="AB15" s="264" t="b">
        <f t="shared" si="26"/>
        <v>1</v>
      </c>
      <c r="AC15" s="264" t="b">
        <f t="shared" si="27"/>
        <v>1</v>
      </c>
    </row>
    <row r="16" spans="1:29" s="261" customFormat="1" ht="24" x14ac:dyDescent="0.25">
      <c r="A16" s="143">
        <v>14</v>
      </c>
      <c r="B16" s="251" t="s">
        <v>131</v>
      </c>
      <c r="C16" s="142" t="s">
        <v>85</v>
      </c>
      <c r="D16" s="181" t="s">
        <v>481</v>
      </c>
      <c r="E16" s="217">
        <v>2605</v>
      </c>
      <c r="F16" s="185" t="s">
        <v>132</v>
      </c>
      <c r="G16" s="143" t="s">
        <v>49</v>
      </c>
      <c r="H16" s="187">
        <v>1.1659999999999999</v>
      </c>
      <c r="I16" s="185" t="s">
        <v>133</v>
      </c>
      <c r="J16" s="252">
        <v>9558006.0600000005</v>
      </c>
      <c r="K16" s="197">
        <v>6690604</v>
      </c>
      <c r="L16" s="197">
        <v>2867402.06</v>
      </c>
      <c r="M16" s="218">
        <v>0.7</v>
      </c>
      <c r="N16" s="147">
        <v>0</v>
      </c>
      <c r="O16" s="147">
        <v>0</v>
      </c>
      <c r="P16" s="148">
        <v>0</v>
      </c>
      <c r="Q16" s="148">
        <v>0</v>
      </c>
      <c r="R16" s="148">
        <v>0</v>
      </c>
      <c r="S16" s="198">
        <v>0</v>
      </c>
      <c r="T16" s="198">
        <v>0</v>
      </c>
      <c r="U16" s="148">
        <v>2843732</v>
      </c>
      <c r="V16" s="148">
        <v>3846872</v>
      </c>
      <c r="W16" s="146"/>
      <c r="X16" s="146"/>
      <c r="Y16" s="287"/>
      <c r="Z16" s="262" t="b">
        <f t="shared" si="24"/>
        <v>1</v>
      </c>
      <c r="AA16" s="263">
        <f t="shared" si="25"/>
        <v>0.7</v>
      </c>
      <c r="AB16" s="264" t="b">
        <f t="shared" si="26"/>
        <v>1</v>
      </c>
      <c r="AC16" s="264" t="b">
        <f t="shared" si="27"/>
        <v>1</v>
      </c>
    </row>
    <row r="17" spans="1:29" s="265" customFormat="1" ht="48" x14ac:dyDescent="0.25">
      <c r="A17" s="141">
        <v>15</v>
      </c>
      <c r="B17" s="237" t="s">
        <v>134</v>
      </c>
      <c r="C17" s="177" t="s">
        <v>121</v>
      </c>
      <c r="D17" s="180" t="s">
        <v>480</v>
      </c>
      <c r="E17" s="214">
        <v>2609</v>
      </c>
      <c r="F17" s="183" t="s">
        <v>135</v>
      </c>
      <c r="G17" s="141" t="s">
        <v>50</v>
      </c>
      <c r="H17" s="186">
        <v>0.97599999999999998</v>
      </c>
      <c r="I17" s="183" t="s">
        <v>127</v>
      </c>
      <c r="J17" s="188">
        <v>3057513.19</v>
      </c>
      <c r="K17" s="196">
        <v>2140259</v>
      </c>
      <c r="L17" s="196">
        <v>917254.19</v>
      </c>
      <c r="M17" s="215">
        <v>0.7</v>
      </c>
      <c r="N17" s="193">
        <v>0</v>
      </c>
      <c r="O17" s="193">
        <v>0</v>
      </c>
      <c r="P17" s="209">
        <v>0</v>
      </c>
      <c r="Q17" s="209">
        <v>0</v>
      </c>
      <c r="R17" s="209">
        <v>0</v>
      </c>
      <c r="S17" s="213">
        <v>0</v>
      </c>
      <c r="T17" s="213">
        <v>0</v>
      </c>
      <c r="U17" s="209">
        <v>2140259</v>
      </c>
      <c r="V17" s="31"/>
      <c r="W17" s="31"/>
      <c r="X17" s="31"/>
      <c r="Y17" s="286"/>
      <c r="Z17" s="262" t="b">
        <f t="shared" si="24"/>
        <v>1</v>
      </c>
      <c r="AA17" s="263">
        <f t="shared" si="25"/>
        <v>0.7</v>
      </c>
      <c r="AB17" s="264" t="b">
        <f t="shared" si="26"/>
        <v>1</v>
      </c>
      <c r="AC17" s="264" t="b">
        <f t="shared" si="27"/>
        <v>1</v>
      </c>
    </row>
    <row r="18" spans="1:29" s="261" customFormat="1" ht="40.5" customHeight="1" x14ac:dyDescent="0.25">
      <c r="A18" s="143">
        <v>16</v>
      </c>
      <c r="B18" s="251" t="s">
        <v>142</v>
      </c>
      <c r="C18" s="142" t="s">
        <v>85</v>
      </c>
      <c r="D18" s="181" t="s">
        <v>48</v>
      </c>
      <c r="E18" s="217">
        <v>2604</v>
      </c>
      <c r="F18" s="185" t="s">
        <v>143</v>
      </c>
      <c r="G18" s="143" t="s">
        <v>50</v>
      </c>
      <c r="H18" s="187">
        <v>0.78500000000000003</v>
      </c>
      <c r="I18" s="185" t="s">
        <v>507</v>
      </c>
      <c r="J18" s="252">
        <v>7426814.1699999999</v>
      </c>
      <c r="K18" s="197">
        <v>5198769</v>
      </c>
      <c r="L18" s="197">
        <v>2228045.17</v>
      </c>
      <c r="M18" s="218">
        <v>0.7</v>
      </c>
      <c r="N18" s="147">
        <v>0</v>
      </c>
      <c r="O18" s="147">
        <v>0</v>
      </c>
      <c r="P18" s="148">
        <v>0</v>
      </c>
      <c r="Q18" s="148">
        <v>0</v>
      </c>
      <c r="R18" s="148">
        <v>0</v>
      </c>
      <c r="S18" s="198">
        <v>0</v>
      </c>
      <c r="T18" s="198">
        <v>0</v>
      </c>
      <c r="U18" s="148">
        <v>2599384</v>
      </c>
      <c r="V18" s="148">
        <v>2599385</v>
      </c>
      <c r="W18" s="146"/>
      <c r="X18" s="146"/>
      <c r="Y18" s="287"/>
      <c r="Z18" s="262" t="b">
        <f t="shared" si="24"/>
        <v>1</v>
      </c>
      <c r="AA18" s="263">
        <f t="shared" si="25"/>
        <v>0.7</v>
      </c>
      <c r="AB18" s="264" t="b">
        <f t="shared" si="26"/>
        <v>1</v>
      </c>
      <c r="AC18" s="264" t="b">
        <f t="shared" si="27"/>
        <v>1</v>
      </c>
    </row>
    <row r="19" spans="1:29" s="265" customFormat="1" ht="24" x14ac:dyDescent="0.25">
      <c r="A19" s="141">
        <v>17</v>
      </c>
      <c r="B19" s="237" t="s">
        <v>136</v>
      </c>
      <c r="C19" s="177" t="s">
        <v>121</v>
      </c>
      <c r="D19" s="180" t="s">
        <v>482</v>
      </c>
      <c r="E19" s="214">
        <v>2613</v>
      </c>
      <c r="F19" s="183" t="s">
        <v>137</v>
      </c>
      <c r="G19" s="141" t="s">
        <v>50</v>
      </c>
      <c r="H19" s="186">
        <v>0.74199999999999999</v>
      </c>
      <c r="I19" s="183" t="s">
        <v>124</v>
      </c>
      <c r="J19" s="188">
        <v>2365180.12</v>
      </c>
      <c r="K19" s="196">
        <v>1419108</v>
      </c>
      <c r="L19" s="196">
        <v>946072.12</v>
      </c>
      <c r="M19" s="215">
        <v>0.6</v>
      </c>
      <c r="N19" s="193">
        <v>0</v>
      </c>
      <c r="O19" s="193">
        <v>0</v>
      </c>
      <c r="P19" s="209">
        <v>0</v>
      </c>
      <c r="Q19" s="209">
        <v>0</v>
      </c>
      <c r="R19" s="209">
        <v>0</v>
      </c>
      <c r="S19" s="213">
        <v>0</v>
      </c>
      <c r="T19" s="213">
        <v>0</v>
      </c>
      <c r="U19" s="209">
        <v>1419108</v>
      </c>
      <c r="V19" s="209"/>
      <c r="W19" s="31"/>
      <c r="X19" s="31"/>
      <c r="Y19" s="286"/>
      <c r="Z19" s="262" t="b">
        <f t="shared" si="24"/>
        <v>1</v>
      </c>
      <c r="AA19" s="263">
        <f t="shared" si="25"/>
        <v>0.6</v>
      </c>
      <c r="AB19" s="264" t="b">
        <f t="shared" si="26"/>
        <v>1</v>
      </c>
      <c r="AC19" s="264" t="b">
        <f t="shared" si="27"/>
        <v>1</v>
      </c>
    </row>
    <row r="20" spans="1:29" s="265" customFormat="1" ht="24" x14ac:dyDescent="0.25">
      <c r="A20" s="141">
        <v>18</v>
      </c>
      <c r="B20" s="237" t="s">
        <v>144</v>
      </c>
      <c r="C20" s="177" t="s">
        <v>121</v>
      </c>
      <c r="D20" s="180" t="s">
        <v>483</v>
      </c>
      <c r="E20" s="214">
        <v>2611</v>
      </c>
      <c r="F20" s="183" t="s">
        <v>145</v>
      </c>
      <c r="G20" s="141" t="s">
        <v>50</v>
      </c>
      <c r="H20" s="186">
        <v>0.55600000000000005</v>
      </c>
      <c r="I20" s="183" t="s">
        <v>146</v>
      </c>
      <c r="J20" s="188">
        <v>2884368.32</v>
      </c>
      <c r="K20" s="196">
        <v>2019057</v>
      </c>
      <c r="L20" s="196">
        <v>865311.32</v>
      </c>
      <c r="M20" s="215">
        <v>0.7</v>
      </c>
      <c r="N20" s="193">
        <v>0</v>
      </c>
      <c r="O20" s="193">
        <v>0</v>
      </c>
      <c r="P20" s="209">
        <v>0</v>
      </c>
      <c r="Q20" s="209">
        <v>0</v>
      </c>
      <c r="R20" s="209">
        <v>0</v>
      </c>
      <c r="S20" s="213">
        <v>0</v>
      </c>
      <c r="T20" s="213">
        <v>0</v>
      </c>
      <c r="U20" s="209">
        <v>2019057</v>
      </c>
      <c r="V20" s="31"/>
      <c r="W20" s="31"/>
      <c r="X20" s="31"/>
      <c r="Y20" s="286"/>
      <c r="Z20" s="262" t="b">
        <f t="shared" si="20"/>
        <v>1</v>
      </c>
      <c r="AA20" s="263">
        <f t="shared" si="21"/>
        <v>0.7</v>
      </c>
      <c r="AB20" s="264" t="b">
        <f t="shared" si="22"/>
        <v>1</v>
      </c>
      <c r="AC20" s="264" t="b">
        <f t="shared" si="23"/>
        <v>1</v>
      </c>
    </row>
    <row r="21" spans="1:29" s="265" customFormat="1" ht="36" x14ac:dyDescent="0.25">
      <c r="A21" s="141">
        <v>19</v>
      </c>
      <c r="B21" s="250" t="s">
        <v>253</v>
      </c>
      <c r="C21" s="177" t="s">
        <v>121</v>
      </c>
      <c r="D21" s="180" t="s">
        <v>484</v>
      </c>
      <c r="E21" s="214">
        <v>2601</v>
      </c>
      <c r="F21" s="141" t="s">
        <v>254</v>
      </c>
      <c r="G21" s="141" t="s">
        <v>50</v>
      </c>
      <c r="H21" s="186">
        <v>0.502</v>
      </c>
      <c r="I21" s="183" t="s">
        <v>120</v>
      </c>
      <c r="J21" s="196">
        <v>2335064.71</v>
      </c>
      <c r="K21" s="196">
        <v>1401038</v>
      </c>
      <c r="L21" s="196">
        <v>934026.71</v>
      </c>
      <c r="M21" s="215">
        <v>0.6</v>
      </c>
      <c r="N21" s="193">
        <v>0</v>
      </c>
      <c r="O21" s="193">
        <v>0</v>
      </c>
      <c r="P21" s="209">
        <v>0</v>
      </c>
      <c r="Q21" s="209">
        <v>0</v>
      </c>
      <c r="R21" s="209">
        <v>0</v>
      </c>
      <c r="S21" s="213">
        <v>0</v>
      </c>
      <c r="T21" s="213">
        <v>0</v>
      </c>
      <c r="U21" s="209">
        <v>1401038</v>
      </c>
      <c r="V21" s="31"/>
      <c r="W21" s="31"/>
      <c r="X21" s="31"/>
      <c r="Y21" s="286"/>
      <c r="Z21" s="262" t="b">
        <f t="shared" si="20"/>
        <v>1</v>
      </c>
      <c r="AA21" s="263">
        <f t="shared" si="21"/>
        <v>0.6</v>
      </c>
      <c r="AB21" s="264" t="b">
        <f t="shared" si="22"/>
        <v>1</v>
      </c>
      <c r="AC21" s="264" t="b">
        <f t="shared" si="23"/>
        <v>1</v>
      </c>
    </row>
    <row r="22" spans="1:29" s="265" customFormat="1" ht="24" x14ac:dyDescent="0.25">
      <c r="A22" s="301">
        <v>20</v>
      </c>
      <c r="B22" s="302" t="s">
        <v>266</v>
      </c>
      <c r="C22" s="303" t="s">
        <v>121</v>
      </c>
      <c r="D22" s="304" t="s">
        <v>484</v>
      </c>
      <c r="E22" s="305">
        <v>2601</v>
      </c>
      <c r="F22" s="306" t="s">
        <v>267</v>
      </c>
      <c r="G22" s="301" t="s">
        <v>50</v>
      </c>
      <c r="H22" s="307">
        <v>2.15</v>
      </c>
      <c r="I22" s="304" t="s">
        <v>120</v>
      </c>
      <c r="J22" s="308">
        <v>5468549.9699999997</v>
      </c>
      <c r="K22" s="308">
        <v>3281129</v>
      </c>
      <c r="L22" s="308">
        <v>2187420.9700000002</v>
      </c>
      <c r="M22" s="309">
        <v>0.6</v>
      </c>
      <c r="N22" s="310">
        <v>0</v>
      </c>
      <c r="O22" s="310">
        <v>0</v>
      </c>
      <c r="P22" s="311">
        <v>0</v>
      </c>
      <c r="Q22" s="311">
        <v>0</v>
      </c>
      <c r="R22" s="311">
        <v>0</v>
      </c>
      <c r="S22" s="312">
        <v>0</v>
      </c>
      <c r="T22" s="312">
        <v>0</v>
      </c>
      <c r="U22" s="312">
        <v>3281129</v>
      </c>
      <c r="V22" s="313"/>
      <c r="W22" s="313"/>
      <c r="X22" s="313"/>
      <c r="Y22" s="314"/>
      <c r="Z22" s="262" t="b">
        <f t="shared" ref="Z22:Z23" si="28">K22=SUM(N22:Y22)</f>
        <v>1</v>
      </c>
      <c r="AA22" s="263">
        <f t="shared" ref="AA22:AA23" si="29">ROUND(K22/J22,4)</f>
        <v>0.6</v>
      </c>
      <c r="AB22" s="264" t="b">
        <f t="shared" ref="AB22:AB23" si="30">AA22=M22</f>
        <v>1</v>
      </c>
      <c r="AC22" s="264" t="b">
        <f t="shared" ref="AC22:AC23" si="31">J22=K22+L22</f>
        <v>1</v>
      </c>
    </row>
    <row r="23" spans="1:29" s="265" customFormat="1" ht="24" x14ac:dyDescent="0.25">
      <c r="A23" s="301">
        <v>21</v>
      </c>
      <c r="B23" s="302" t="s">
        <v>279</v>
      </c>
      <c r="C23" s="303" t="s">
        <v>121</v>
      </c>
      <c r="D23" s="304" t="s">
        <v>480</v>
      </c>
      <c r="E23" s="305">
        <v>2609</v>
      </c>
      <c r="F23" s="306" t="s">
        <v>280</v>
      </c>
      <c r="G23" s="301" t="s">
        <v>50</v>
      </c>
      <c r="H23" s="307">
        <v>1.375</v>
      </c>
      <c r="I23" s="304" t="s">
        <v>127</v>
      </c>
      <c r="J23" s="308">
        <v>2095113.37</v>
      </c>
      <c r="K23" s="308">
        <v>1466579</v>
      </c>
      <c r="L23" s="308">
        <v>628534.37</v>
      </c>
      <c r="M23" s="309">
        <v>0.7</v>
      </c>
      <c r="N23" s="310">
        <v>0</v>
      </c>
      <c r="O23" s="310">
        <v>0</v>
      </c>
      <c r="P23" s="311">
        <v>0</v>
      </c>
      <c r="Q23" s="311">
        <v>0</v>
      </c>
      <c r="R23" s="311">
        <v>0</v>
      </c>
      <c r="S23" s="312">
        <v>0</v>
      </c>
      <c r="T23" s="312">
        <v>0</v>
      </c>
      <c r="U23" s="312">
        <v>1466579</v>
      </c>
      <c r="V23" s="313"/>
      <c r="W23" s="313"/>
      <c r="X23" s="313"/>
      <c r="Y23" s="314"/>
      <c r="Z23" s="262" t="b">
        <f t="shared" si="28"/>
        <v>1</v>
      </c>
      <c r="AA23" s="263">
        <f t="shared" si="29"/>
        <v>0.7</v>
      </c>
      <c r="AB23" s="264" t="b">
        <f t="shared" si="30"/>
        <v>1</v>
      </c>
      <c r="AC23" s="264" t="b">
        <f t="shared" si="31"/>
        <v>1</v>
      </c>
    </row>
    <row r="24" spans="1:29" s="265" customFormat="1" ht="24" x14ac:dyDescent="0.25">
      <c r="A24" s="266" t="s">
        <v>510</v>
      </c>
      <c r="B24" s="267" t="s">
        <v>122</v>
      </c>
      <c r="C24" s="268" t="s">
        <v>121</v>
      </c>
      <c r="D24" s="269" t="s">
        <v>482</v>
      </c>
      <c r="E24" s="270">
        <v>2613</v>
      </c>
      <c r="F24" s="271" t="s">
        <v>123</v>
      </c>
      <c r="G24" s="266" t="s">
        <v>50</v>
      </c>
      <c r="H24" s="272">
        <v>2.2599999999999998</v>
      </c>
      <c r="I24" s="269" t="s">
        <v>124</v>
      </c>
      <c r="J24" s="273">
        <v>11242359.140000001</v>
      </c>
      <c r="K24" s="273">
        <f>6745415-4487239.5</f>
        <v>2258175.5</v>
      </c>
      <c r="L24" s="273">
        <f>J24-K24</f>
        <v>8984183.6400000006</v>
      </c>
      <c r="M24" s="274">
        <v>0.6</v>
      </c>
      <c r="N24" s="275">
        <v>0</v>
      </c>
      <c r="O24" s="275">
        <v>0</v>
      </c>
      <c r="P24" s="276">
        <v>0</v>
      </c>
      <c r="Q24" s="276">
        <v>0</v>
      </c>
      <c r="R24" s="276">
        <v>0</v>
      </c>
      <c r="S24" s="277">
        <v>0</v>
      </c>
      <c r="T24" s="277">
        <v>0</v>
      </c>
      <c r="U24" s="276">
        <f>K24</f>
        <v>2258175.5</v>
      </c>
      <c r="V24" s="278"/>
      <c r="W24" s="278"/>
      <c r="X24" s="278"/>
      <c r="Y24" s="288"/>
      <c r="Z24" s="262" t="b">
        <f t="shared" si="20"/>
        <v>1</v>
      </c>
      <c r="AA24" s="263">
        <f t="shared" si="21"/>
        <v>0.2009</v>
      </c>
      <c r="AB24" s="264" t="b">
        <f t="shared" si="22"/>
        <v>0</v>
      </c>
      <c r="AC24" s="264" t="b">
        <f t="shared" si="23"/>
        <v>1</v>
      </c>
    </row>
    <row r="25" spans="1:29" x14ac:dyDescent="0.25">
      <c r="A25" s="343" t="s">
        <v>43</v>
      </c>
      <c r="B25" s="343"/>
      <c r="C25" s="343"/>
      <c r="D25" s="343"/>
      <c r="E25" s="343"/>
      <c r="F25" s="343"/>
      <c r="G25" s="343"/>
      <c r="H25" s="152">
        <f>SUM(H3:H24)</f>
        <v>36.170999999999992</v>
      </c>
      <c r="I25" s="153" t="s">
        <v>14</v>
      </c>
      <c r="J25" s="154">
        <f>SUM(J3:J24)</f>
        <v>144751647.33000001</v>
      </c>
      <c r="K25" s="154">
        <f>SUM(K3:K24)</f>
        <v>89381598.5</v>
      </c>
      <c r="L25" s="154">
        <f>SUM(L3:L24)</f>
        <v>55370048.830000006</v>
      </c>
      <c r="M25" s="155" t="s">
        <v>14</v>
      </c>
      <c r="N25" s="154">
        <f t="shared" ref="N25:Y25" si="32">SUM(N3:N24)</f>
        <v>0</v>
      </c>
      <c r="O25" s="154">
        <f t="shared" si="32"/>
        <v>0</v>
      </c>
      <c r="P25" s="160">
        <f t="shared" si="32"/>
        <v>0</v>
      </c>
      <c r="Q25" s="160">
        <f t="shared" si="32"/>
        <v>0</v>
      </c>
      <c r="R25" s="160">
        <f t="shared" si="32"/>
        <v>178965</v>
      </c>
      <c r="S25" s="160">
        <f t="shared" si="32"/>
        <v>178965</v>
      </c>
      <c r="T25" s="160">
        <f t="shared" si="32"/>
        <v>15420990</v>
      </c>
      <c r="U25" s="160">
        <f t="shared" si="32"/>
        <v>61567267.5</v>
      </c>
      <c r="V25" s="160">
        <f t="shared" si="32"/>
        <v>12035411</v>
      </c>
      <c r="W25" s="160">
        <f t="shared" si="32"/>
        <v>0</v>
      </c>
      <c r="X25" s="160">
        <f t="shared" si="32"/>
        <v>0</v>
      </c>
      <c r="Y25" s="160">
        <f t="shared" si="32"/>
        <v>0</v>
      </c>
      <c r="Z25" s="1" t="b">
        <f t="shared" si="0"/>
        <v>1</v>
      </c>
      <c r="AA25" s="23">
        <f t="shared" si="1"/>
        <v>0.61750000000000005</v>
      </c>
      <c r="AB25" s="24" t="s">
        <v>14</v>
      </c>
      <c r="AC25" s="24" t="b">
        <f t="shared" si="3"/>
        <v>1</v>
      </c>
    </row>
    <row r="26" spans="1:29" x14ac:dyDescent="0.25">
      <c r="A26" s="342" t="s">
        <v>36</v>
      </c>
      <c r="B26" s="342"/>
      <c r="C26" s="342"/>
      <c r="D26" s="342"/>
      <c r="E26" s="342"/>
      <c r="F26" s="342"/>
      <c r="G26" s="342"/>
      <c r="H26" s="157">
        <f>SUMIF($C$3:$C$24,"K",H3:H24)</f>
        <v>15.484999999999999</v>
      </c>
      <c r="I26" s="158" t="s">
        <v>14</v>
      </c>
      <c r="J26" s="145">
        <f>SUMIF($C$3:$C$24,"K",J3:J24)</f>
        <v>62796817.010000005</v>
      </c>
      <c r="K26" s="145">
        <f>SUMIF($C$3:$C$24,"K",K3:K24)</f>
        <v>41509952</v>
      </c>
      <c r="L26" s="145">
        <f>SUMIF($C$3:$C$24,"K",L3:L24)</f>
        <v>21286865.010000002</v>
      </c>
      <c r="M26" s="159" t="s">
        <v>14</v>
      </c>
      <c r="N26" s="145">
        <f t="shared" ref="N26:Y26" si="33">SUMIF($C$3:$C$24,"K",N3:N24)</f>
        <v>0</v>
      </c>
      <c r="O26" s="145">
        <f t="shared" si="33"/>
        <v>0</v>
      </c>
      <c r="P26" s="161">
        <f t="shared" si="33"/>
        <v>0</v>
      </c>
      <c r="Q26" s="161">
        <f t="shared" si="33"/>
        <v>0</v>
      </c>
      <c r="R26" s="161">
        <f t="shared" si="33"/>
        <v>178965</v>
      </c>
      <c r="S26" s="161">
        <f t="shared" si="33"/>
        <v>178965</v>
      </c>
      <c r="T26" s="161">
        <f t="shared" si="33"/>
        <v>15420990</v>
      </c>
      <c r="U26" s="161">
        <f t="shared" si="33"/>
        <v>25731032</v>
      </c>
      <c r="V26" s="161">
        <f t="shared" si="33"/>
        <v>0</v>
      </c>
      <c r="W26" s="161">
        <f t="shared" si="33"/>
        <v>0</v>
      </c>
      <c r="X26" s="161">
        <f t="shared" si="33"/>
        <v>0</v>
      </c>
      <c r="Y26" s="161">
        <f t="shared" si="33"/>
        <v>0</v>
      </c>
      <c r="Z26" s="1" t="b">
        <f t="shared" si="0"/>
        <v>1</v>
      </c>
      <c r="AA26" s="23">
        <f t="shared" ref="AA26" si="34">ROUND(K26/J26,4)</f>
        <v>0.66100000000000003</v>
      </c>
      <c r="AB26" s="24" t="s">
        <v>14</v>
      </c>
      <c r="AC26" s="24" t="b">
        <f t="shared" ref="AC26" si="35">J26=K26+L26</f>
        <v>1</v>
      </c>
    </row>
    <row r="27" spans="1:29" x14ac:dyDescent="0.25">
      <c r="A27" s="343" t="s">
        <v>37</v>
      </c>
      <c r="B27" s="343"/>
      <c r="C27" s="343"/>
      <c r="D27" s="343"/>
      <c r="E27" s="343"/>
      <c r="F27" s="343"/>
      <c r="G27" s="343"/>
      <c r="H27" s="152">
        <f>SUMIF($C$3:$C$24,"N",H3:H24)</f>
        <v>17.657000000000004</v>
      </c>
      <c r="I27" s="153" t="s">
        <v>14</v>
      </c>
      <c r="J27" s="154">
        <f>SUMIF($C$3:$C$24,"N",J3:J24)</f>
        <v>46339493.259999998</v>
      </c>
      <c r="K27" s="154">
        <f>SUMIF($C$3:$C$24,"N",K3:K24)</f>
        <v>24803964.5</v>
      </c>
      <c r="L27" s="154">
        <f>SUMIF($C$3:$C$24,"N",L3:L24)</f>
        <v>21535528.759999998</v>
      </c>
      <c r="M27" s="155" t="s">
        <v>14</v>
      </c>
      <c r="N27" s="154">
        <f t="shared" ref="N27:Y27" si="36">SUMIF($C$3:$C$24,"N",N3:N24)</f>
        <v>0</v>
      </c>
      <c r="O27" s="154">
        <f t="shared" si="36"/>
        <v>0</v>
      </c>
      <c r="P27" s="160">
        <f t="shared" si="36"/>
        <v>0</v>
      </c>
      <c r="Q27" s="160">
        <f t="shared" si="36"/>
        <v>0</v>
      </c>
      <c r="R27" s="160">
        <f t="shared" si="36"/>
        <v>0</v>
      </c>
      <c r="S27" s="160">
        <f t="shared" si="36"/>
        <v>0</v>
      </c>
      <c r="T27" s="160">
        <f t="shared" si="36"/>
        <v>0</v>
      </c>
      <c r="U27" s="160">
        <f t="shared" si="36"/>
        <v>24803964.5</v>
      </c>
      <c r="V27" s="160">
        <f t="shared" si="36"/>
        <v>0</v>
      </c>
      <c r="W27" s="160">
        <f t="shared" si="36"/>
        <v>0</v>
      </c>
      <c r="X27" s="160">
        <f t="shared" si="36"/>
        <v>0</v>
      </c>
      <c r="Y27" s="160">
        <f t="shared" si="36"/>
        <v>0</v>
      </c>
      <c r="Z27" s="1" t="b">
        <f t="shared" si="0"/>
        <v>1</v>
      </c>
      <c r="AA27" s="23">
        <f t="shared" si="1"/>
        <v>0.5353</v>
      </c>
      <c r="AB27" s="24" t="s">
        <v>14</v>
      </c>
      <c r="AC27" s="24" t="b">
        <f t="shared" si="3"/>
        <v>1</v>
      </c>
    </row>
    <row r="28" spans="1:29" x14ac:dyDescent="0.25">
      <c r="A28" s="342" t="s">
        <v>38</v>
      </c>
      <c r="B28" s="342"/>
      <c r="C28" s="342"/>
      <c r="D28" s="342"/>
      <c r="E28" s="342"/>
      <c r="F28" s="342"/>
      <c r="G28" s="342"/>
      <c r="H28" s="157">
        <f>SUMIF($C$3:$C$24,"W",H3:H24)</f>
        <v>3.0289999999999999</v>
      </c>
      <c r="I28" s="158" t="s">
        <v>14</v>
      </c>
      <c r="J28" s="145">
        <f>SUMIF($C$3:$C$24,"W",J3:J24)</f>
        <v>35615337.060000002</v>
      </c>
      <c r="K28" s="145">
        <f>SUMIF($C$3:$C$24,"W",K3:K24)</f>
        <v>23067682</v>
      </c>
      <c r="L28" s="145">
        <f>SUMIF($C$3:$C$24,"W",L3:L24)</f>
        <v>12547655.060000001</v>
      </c>
      <c r="M28" s="159" t="s">
        <v>14</v>
      </c>
      <c r="N28" s="145">
        <f t="shared" ref="N28:Y28" si="37">SUMIF($C$3:$C$24,"W",N3:N24)</f>
        <v>0</v>
      </c>
      <c r="O28" s="145">
        <f t="shared" si="37"/>
        <v>0</v>
      </c>
      <c r="P28" s="161">
        <f t="shared" si="37"/>
        <v>0</v>
      </c>
      <c r="Q28" s="161">
        <f t="shared" si="37"/>
        <v>0</v>
      </c>
      <c r="R28" s="161">
        <f t="shared" si="37"/>
        <v>0</v>
      </c>
      <c r="S28" s="161">
        <f t="shared" si="37"/>
        <v>0</v>
      </c>
      <c r="T28" s="161">
        <f t="shared" si="37"/>
        <v>0</v>
      </c>
      <c r="U28" s="161">
        <f t="shared" si="37"/>
        <v>11032271</v>
      </c>
      <c r="V28" s="161">
        <f t="shared" si="37"/>
        <v>12035411</v>
      </c>
      <c r="W28" s="161">
        <f t="shared" si="37"/>
        <v>0</v>
      </c>
      <c r="X28" s="161">
        <f t="shared" si="37"/>
        <v>0</v>
      </c>
      <c r="Y28" s="161">
        <f t="shared" si="37"/>
        <v>0</v>
      </c>
      <c r="Z28" s="1" t="b">
        <f t="shared" si="0"/>
        <v>1</v>
      </c>
      <c r="AA28" s="23">
        <f t="shared" ref="AA28" si="38">ROUND(K28/J28,4)</f>
        <v>0.64770000000000005</v>
      </c>
      <c r="AB28" s="24" t="s">
        <v>14</v>
      </c>
      <c r="AC28" s="24" t="b">
        <f t="shared" ref="AC28" si="39">J28=K28+L28</f>
        <v>1</v>
      </c>
    </row>
    <row r="29" spans="1:29" x14ac:dyDescent="0.25">
      <c r="A29" s="18"/>
      <c r="B29" s="18"/>
      <c r="C29" s="18"/>
      <c r="D29" s="18"/>
      <c r="E29" s="18"/>
      <c r="F29" s="18"/>
      <c r="G29" s="18"/>
    </row>
    <row r="30" spans="1:29" x14ac:dyDescent="0.25">
      <c r="A30" s="162" t="s">
        <v>23</v>
      </c>
      <c r="B30" s="162"/>
      <c r="C30" s="162"/>
      <c r="D30" s="162"/>
      <c r="E30" s="162"/>
      <c r="F30" s="162"/>
      <c r="G30" s="162"/>
      <c r="H30" s="163"/>
      <c r="I30" s="163"/>
      <c r="J30" s="164"/>
      <c r="K30" s="163"/>
      <c r="L30" s="163"/>
      <c r="M30" s="165"/>
      <c r="N30" s="163"/>
      <c r="O30" s="163"/>
      <c r="P30" s="163"/>
      <c r="Q30" s="163"/>
      <c r="R30" s="9"/>
      <c r="S30" s="9"/>
      <c r="T30" s="13"/>
      <c r="U30" s="13"/>
      <c r="V30" s="9"/>
      <c r="W30" s="9"/>
      <c r="X30" s="9"/>
      <c r="Y30" s="9"/>
      <c r="Z30" s="1"/>
      <c r="AC30" s="24"/>
    </row>
    <row r="31" spans="1:29" x14ac:dyDescent="0.25">
      <c r="A31" s="166" t="s">
        <v>24</v>
      </c>
      <c r="B31" s="166"/>
      <c r="C31" s="166"/>
      <c r="D31" s="166"/>
      <c r="E31" s="166"/>
      <c r="F31" s="166"/>
      <c r="G31" s="166"/>
      <c r="H31" s="163"/>
      <c r="I31" s="163"/>
      <c r="J31" s="163"/>
      <c r="K31" s="163"/>
      <c r="L31" s="163"/>
      <c r="M31" s="165"/>
      <c r="N31" s="163"/>
      <c r="O31" s="163"/>
      <c r="P31" s="163"/>
      <c r="Q31" s="163"/>
      <c r="R31" s="9"/>
      <c r="S31" s="9"/>
      <c r="T31" s="13"/>
      <c r="U31" s="13"/>
      <c r="V31" s="9"/>
      <c r="W31" s="9"/>
      <c r="X31" s="9"/>
      <c r="Y31" s="9"/>
      <c r="Z31" s="1"/>
    </row>
    <row r="32" spans="1:29" x14ac:dyDescent="0.25">
      <c r="A32" s="162" t="s">
        <v>41</v>
      </c>
      <c r="B32" s="167"/>
      <c r="C32" s="167"/>
      <c r="D32" s="167"/>
      <c r="E32" s="167"/>
      <c r="F32" s="167"/>
      <c r="G32" s="167"/>
      <c r="H32" s="168"/>
      <c r="I32" s="168"/>
      <c r="J32" s="168"/>
      <c r="K32" s="168"/>
      <c r="L32" s="168"/>
      <c r="M32" s="165"/>
      <c r="N32" s="168"/>
      <c r="O32" s="168"/>
      <c r="P32" s="168"/>
      <c r="Q32" s="168"/>
    </row>
    <row r="33" spans="1:17" x14ac:dyDescent="0.25">
      <c r="A33" s="169" t="s">
        <v>45</v>
      </c>
      <c r="B33" s="169"/>
      <c r="C33" s="169"/>
      <c r="D33" s="169"/>
      <c r="E33" s="169"/>
      <c r="F33" s="169"/>
      <c r="G33" s="169"/>
      <c r="H33" s="168"/>
      <c r="I33" s="168"/>
      <c r="J33" s="168"/>
      <c r="K33" s="168"/>
      <c r="L33" s="168"/>
      <c r="M33" s="165"/>
      <c r="N33" s="168"/>
      <c r="O33" s="168"/>
      <c r="P33" s="168"/>
      <c r="Q33" s="168"/>
    </row>
  </sheetData>
  <mergeCells count="18">
    <mergeCell ref="D1:D2"/>
    <mergeCell ref="A28:G28"/>
    <mergeCell ref="A27:G27"/>
    <mergeCell ref="E1:E2"/>
    <mergeCell ref="A25:G25"/>
    <mergeCell ref="A1:A2"/>
    <mergeCell ref="B1:B2"/>
    <mergeCell ref="C1:C2"/>
    <mergeCell ref="F1:F2"/>
    <mergeCell ref="G1:G2"/>
    <mergeCell ref="A26:G26"/>
    <mergeCell ref="H1:H2"/>
    <mergeCell ref="I1:I2"/>
    <mergeCell ref="J1:J2"/>
    <mergeCell ref="K1:K2"/>
    <mergeCell ref="N1:Y1"/>
    <mergeCell ref="L1:L2"/>
    <mergeCell ref="M1:M2"/>
  </mergeCells>
  <conditionalFormatting sqref="B3:B4">
    <cfRule type="expression" dxfId="102" priority="39">
      <formula>$O3="p"</formula>
    </cfRule>
    <cfRule type="expression" dxfId="101" priority="40">
      <formula>$O3="k"</formula>
    </cfRule>
    <cfRule type="expression" dxfId="100" priority="41">
      <formula>$N3="odrzucenie"</formula>
    </cfRule>
    <cfRule type="expression" dxfId="99" priority="42">
      <formula>$N3="rezygnacja"</formula>
    </cfRule>
  </conditionalFormatting>
  <conditionalFormatting sqref="B5:B9 E5:M9">
    <cfRule type="expression" dxfId="98" priority="24">
      <formula>$P5="odrzucenie"</formula>
    </cfRule>
    <cfRule type="expression" dxfId="97" priority="25">
      <formula>$P5="rezygnacja"</formula>
    </cfRule>
  </conditionalFormatting>
  <conditionalFormatting sqref="B10:B20 E10:E20 H10:M20">
    <cfRule type="expression" dxfId="96" priority="18">
      <formula>$P10="odrzucenie"</formula>
    </cfRule>
    <cfRule type="expression" dxfId="95" priority="19">
      <formula>$P10="rezygnacja"</formula>
    </cfRule>
  </conditionalFormatting>
  <conditionalFormatting sqref="D5:D9">
    <cfRule type="expression" dxfId="94" priority="22">
      <formula>$P5="odrzucenie"</formula>
    </cfRule>
    <cfRule type="expression" dxfId="93" priority="23">
      <formula>$P5="rezygnacja"</formula>
    </cfRule>
  </conditionalFormatting>
  <conditionalFormatting sqref="Z3:AB28">
    <cfRule type="containsText" dxfId="92" priority="119" operator="containsText" text="fałsz">
      <formula>NOT(ISERROR(SEARCH("fałsz",Z3)))</formula>
    </cfRule>
  </conditionalFormatting>
  <conditionalFormatting sqref="Z3:AC28">
    <cfRule type="cellIs" dxfId="91" priority="117" operator="equal">
      <formula>FALSE</formula>
    </cfRule>
  </conditionalFormatting>
  <conditionalFormatting sqref="AC30">
    <cfRule type="cellIs" dxfId="90" priority="127" operator="equal">
      <formula>FALSE</formula>
    </cfRule>
  </conditionalFormatting>
  <conditionalFormatting sqref="D22">
    <cfRule type="expression" dxfId="89" priority="3">
      <formula>$P22="odrzucenie"</formula>
    </cfRule>
    <cfRule type="expression" dxfId="88" priority="4">
      <formula>$P22="rezygnacja"</formula>
    </cfRule>
  </conditionalFormatting>
  <conditionalFormatting sqref="D23">
    <cfRule type="expression" dxfId="87" priority="1">
      <formula>$P23="odrzucenie"</formula>
    </cfRule>
    <cfRule type="expression" dxfId="86" priority="2">
      <formula>$P23="rezygnacja"</formula>
    </cfRule>
  </conditionalFormatting>
  <dataValidations count="2">
    <dataValidation type="list" allowBlank="1" showInputMessage="1" showErrorMessage="1" sqref="C10:C24">
      <formula1>"N,K,W"</formula1>
    </dataValidation>
    <dataValidation type="list" allowBlank="1" showInputMessage="1" showErrorMessage="1" sqref="G3:G24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3" fitToHeight="0" orientation="landscape" r:id="rId1"/>
  <headerFooter>
    <oddHeader>&amp;LWojewództwo świętokrzyskie - zadania powiatowe lista podstawowa</oddHeader>
    <oddFooter>Strona &amp;P z &amp;N</oddFooter>
  </headerFooter>
  <ignoredErrors>
    <ignoredError sqref="N25:Y25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1340DA07-7E90-4BFA-ABB3-1336D49103BF}">
            <xm:f>'pow rez'!$P41="odrzucenie"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14:cfRule type="expression" priority="15" id="{912918ED-EF06-4595-9DC9-3DC8E49D5A42}">
            <xm:f>'pow rez'!$P41="rezygnacja"</xm:f>
            <x14:dxf>
              <fill>
                <patternFill>
                  <bgColor theme="5"/>
                </patternFill>
              </fill>
            </x14:dxf>
          </x14:cfRule>
          <xm:sqref>B21 E21 H21:M21</xm:sqref>
        </x14:conditionalFormatting>
        <x14:conditionalFormatting xmlns:xm="http://schemas.microsoft.com/office/excel/2006/main">
          <x14:cfRule type="expression" priority="16" id="{9522C266-CB9E-4DA3-811B-0A3060E4DF1C}">
            <xm:f>'pow rez'!$P41="odrzucenie"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7" id="{E157B681-0380-4475-91C5-07A242A8381B}">
            <xm:f>'pow rez'!$P41="rezygnacja"</xm:f>
            <x14:dxf>
              <fill>
                <patternFill>
                  <bgColor rgb="FFED7D31"/>
                </patternFill>
              </fill>
            </x14:dxf>
          </x14:cfRule>
          <xm:sqref>D21</xm:sqref>
        </x14:conditionalFormatting>
        <x14:conditionalFormatting xmlns:xm="http://schemas.microsoft.com/office/excel/2006/main">
          <x14:cfRule type="expression" priority="1160" id="{1340DA07-7E90-4BFA-ABB3-1336D49103BF}">
            <xm:f>'pow rez'!$P42="odrzucenie"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14:cfRule type="expression" priority="1161" id="{912918ED-EF06-4595-9DC9-3DC8E49D5A42}">
            <xm:f>'pow rez'!$P42="rezygnacja"</xm:f>
            <x14:dxf>
              <fill>
                <patternFill>
                  <bgColor theme="5"/>
                </patternFill>
              </fill>
            </x14:dxf>
          </x14:cfRule>
          <xm:sqref>B24 E24 H24:M24</xm:sqref>
        </x14:conditionalFormatting>
        <x14:conditionalFormatting xmlns:xm="http://schemas.microsoft.com/office/excel/2006/main">
          <x14:cfRule type="expression" priority="1172" id="{9522C266-CB9E-4DA3-811B-0A3060E4DF1C}">
            <xm:f>'pow rez'!$P42="odrzucenie"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173" id="{E157B681-0380-4475-91C5-07A242A8381B}">
            <xm:f>'pow rez'!$P42="rezygnacja"</xm:f>
            <x14:dxf>
              <fill>
                <patternFill>
                  <bgColor rgb="FFED7D31"/>
                </patternFill>
              </fill>
            </x14:dxf>
          </x14:cfRule>
          <xm:sqref>D24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6"/>
  <sheetViews>
    <sheetView showGridLines="0" view="pageBreakPreview" zoomScaleNormal="90" zoomScaleSheetLayoutView="100" zoomScalePageLayoutView="90" workbookViewId="0">
      <selection sqref="A1:A2"/>
    </sheetView>
  </sheetViews>
  <sheetFormatPr defaultColWidth="9.140625" defaultRowHeight="15" x14ac:dyDescent="0.25"/>
  <cols>
    <col min="1" max="1" width="5.7109375" customWidth="1"/>
    <col min="2" max="2" width="13.7109375" customWidth="1"/>
    <col min="3" max="3" width="19.28515625" customWidth="1"/>
    <col min="4" max="4" width="15.7109375" customWidth="1"/>
    <col min="5" max="5" width="7.7109375" style="22" customWidth="1"/>
    <col min="6" max="6" width="15.7109375" customWidth="1"/>
    <col min="7" max="7" width="53.7109375" customWidth="1"/>
    <col min="8" max="8" width="13.7109375" customWidth="1"/>
    <col min="9" max="13" width="14.7109375" customWidth="1"/>
    <col min="14" max="14" width="15.7109375" style="1" customWidth="1"/>
    <col min="15" max="18" width="11.7109375" customWidth="1"/>
    <col min="19" max="22" width="15.7109375" customWidth="1"/>
    <col min="23" max="23" width="12.28515625" bestFit="1" customWidth="1"/>
    <col min="24" max="26" width="11.7109375" customWidth="1"/>
    <col min="27" max="29" width="15.7109375" style="9" customWidth="1"/>
    <col min="30" max="30" width="15.7109375" customWidth="1"/>
  </cols>
  <sheetData>
    <row r="1" spans="1:30" ht="18" customHeight="1" x14ac:dyDescent="0.25">
      <c r="A1" s="337" t="s">
        <v>4</v>
      </c>
      <c r="B1" s="337" t="s">
        <v>5</v>
      </c>
      <c r="C1" s="344" t="s">
        <v>42</v>
      </c>
      <c r="D1" s="340" t="s">
        <v>6</v>
      </c>
      <c r="E1" s="337" t="s">
        <v>31</v>
      </c>
      <c r="F1" s="340" t="s">
        <v>15</v>
      </c>
      <c r="G1" s="337" t="s">
        <v>7</v>
      </c>
      <c r="H1" s="337" t="s">
        <v>25</v>
      </c>
      <c r="I1" s="337" t="s">
        <v>8</v>
      </c>
      <c r="J1" s="337" t="s">
        <v>26</v>
      </c>
      <c r="K1" s="337" t="s">
        <v>9</v>
      </c>
      <c r="L1" s="337" t="s">
        <v>17</v>
      </c>
      <c r="M1" s="340" t="s">
        <v>13</v>
      </c>
      <c r="N1" s="337" t="s">
        <v>11</v>
      </c>
      <c r="O1" s="345" t="s">
        <v>12</v>
      </c>
      <c r="P1" s="346"/>
      <c r="Q1" s="346"/>
      <c r="R1" s="346"/>
      <c r="S1" s="346"/>
      <c r="T1" s="346"/>
      <c r="U1" s="346"/>
      <c r="V1" s="346"/>
      <c r="W1" s="346"/>
      <c r="X1" s="346"/>
      <c r="Y1" s="346"/>
      <c r="Z1" s="346"/>
    </row>
    <row r="2" spans="1:30" ht="18" customHeight="1" x14ac:dyDescent="0.25">
      <c r="A2" s="337"/>
      <c r="B2" s="337"/>
      <c r="C2" s="345"/>
      <c r="D2" s="341"/>
      <c r="E2" s="337"/>
      <c r="F2" s="341"/>
      <c r="G2" s="337"/>
      <c r="H2" s="337"/>
      <c r="I2" s="337"/>
      <c r="J2" s="337"/>
      <c r="K2" s="337"/>
      <c r="L2" s="337"/>
      <c r="M2" s="341"/>
      <c r="N2" s="337"/>
      <c r="O2" s="150">
        <v>2019</v>
      </c>
      <c r="P2" s="150">
        <v>2020</v>
      </c>
      <c r="Q2" s="150">
        <v>2021</v>
      </c>
      <c r="R2" s="150">
        <v>2022</v>
      </c>
      <c r="S2" s="150">
        <v>2023</v>
      </c>
      <c r="T2" s="150">
        <v>2024</v>
      </c>
      <c r="U2" s="150">
        <v>2025</v>
      </c>
      <c r="V2" s="150">
        <v>2026</v>
      </c>
      <c r="W2" s="150">
        <v>2027</v>
      </c>
      <c r="X2" s="150">
        <v>2028</v>
      </c>
      <c r="Y2" s="150">
        <v>2029</v>
      </c>
      <c r="Z2" s="150">
        <v>2030</v>
      </c>
      <c r="AA2" s="1" t="s">
        <v>27</v>
      </c>
      <c r="AB2" s="1" t="s">
        <v>28</v>
      </c>
      <c r="AC2" s="1" t="s">
        <v>29</v>
      </c>
      <c r="AD2" s="1" t="s">
        <v>30</v>
      </c>
    </row>
    <row r="3" spans="1:30" ht="24" x14ac:dyDescent="0.25">
      <c r="A3" s="144">
        <v>1</v>
      </c>
      <c r="B3" s="178" t="s">
        <v>69</v>
      </c>
      <c r="C3" s="149" t="s">
        <v>47</v>
      </c>
      <c r="D3" s="181" t="s">
        <v>62</v>
      </c>
      <c r="E3" s="212">
        <v>2601013</v>
      </c>
      <c r="F3" s="181" t="s">
        <v>63</v>
      </c>
      <c r="G3" s="185" t="s">
        <v>71</v>
      </c>
      <c r="H3" s="181" t="s">
        <v>49</v>
      </c>
      <c r="I3" s="187">
        <v>0.55000000000000004</v>
      </c>
      <c r="J3" s="185" t="s">
        <v>72</v>
      </c>
      <c r="K3" s="197">
        <v>5716782.0899999999</v>
      </c>
      <c r="L3" s="190">
        <v>4156342</v>
      </c>
      <c r="M3" s="190">
        <f>K3-L3</f>
        <v>1560440.0899999999</v>
      </c>
      <c r="N3" s="192">
        <v>0.8</v>
      </c>
      <c r="O3" s="147">
        <v>0</v>
      </c>
      <c r="P3" s="147">
        <v>0</v>
      </c>
      <c r="Q3" s="195">
        <v>0</v>
      </c>
      <c r="R3" s="195">
        <v>0</v>
      </c>
      <c r="S3" s="195">
        <v>0</v>
      </c>
      <c r="T3" s="198">
        <v>415634</v>
      </c>
      <c r="U3" s="198">
        <v>2909440</v>
      </c>
      <c r="V3" s="198">
        <v>831268</v>
      </c>
      <c r="W3" s="179"/>
      <c r="X3" s="179"/>
      <c r="Y3" s="179"/>
      <c r="Z3" s="179"/>
      <c r="AA3" s="1" t="b">
        <f t="shared" ref="AA3" si="0">L3=SUM(O3:Z3)</f>
        <v>1</v>
      </c>
      <c r="AB3" s="23">
        <f t="shared" ref="AB3" si="1">ROUND(L3/K3,4)</f>
        <v>0.72699999999999998</v>
      </c>
      <c r="AC3" s="24" t="b">
        <f t="shared" ref="AC3" si="2">AB3=N3</f>
        <v>0</v>
      </c>
      <c r="AD3" s="24" t="b">
        <f t="shared" ref="AD3" si="3">K3=L3+M3</f>
        <v>1</v>
      </c>
    </row>
    <row r="4" spans="1:30" ht="24" x14ac:dyDescent="0.25">
      <c r="A4" s="144">
        <v>2</v>
      </c>
      <c r="B4" s="178" t="s">
        <v>73</v>
      </c>
      <c r="C4" s="149" t="s">
        <v>47</v>
      </c>
      <c r="D4" s="181" t="s">
        <v>59</v>
      </c>
      <c r="E4" s="212">
        <v>2604033</v>
      </c>
      <c r="F4" s="181" t="s">
        <v>60</v>
      </c>
      <c r="G4" s="185" t="s">
        <v>75</v>
      </c>
      <c r="H4" s="181" t="s">
        <v>49</v>
      </c>
      <c r="I4" s="187">
        <v>0.44800000000000001</v>
      </c>
      <c r="J4" s="185" t="s">
        <v>77</v>
      </c>
      <c r="K4" s="197">
        <v>2590484.34</v>
      </c>
      <c r="L4" s="190">
        <v>2072387</v>
      </c>
      <c r="M4" s="190">
        <f>K4-L4</f>
        <v>518097.33999999985</v>
      </c>
      <c r="N4" s="192">
        <v>0.8</v>
      </c>
      <c r="O4" s="147">
        <v>0</v>
      </c>
      <c r="P4" s="147">
        <v>0</v>
      </c>
      <c r="Q4" s="195">
        <v>0</v>
      </c>
      <c r="R4" s="195">
        <v>0</v>
      </c>
      <c r="S4" s="195">
        <v>0</v>
      </c>
      <c r="T4" s="198">
        <v>2800</v>
      </c>
      <c r="U4" s="198">
        <v>240000</v>
      </c>
      <c r="V4" s="198">
        <v>1829587</v>
      </c>
      <c r="W4" s="30"/>
      <c r="X4" s="30"/>
      <c r="Y4" s="30"/>
      <c r="Z4" s="30"/>
      <c r="AA4" s="1" t="b">
        <f t="shared" ref="AA4" si="4">L4=SUM(O4:Z4)</f>
        <v>1</v>
      </c>
      <c r="AB4" s="23">
        <f t="shared" ref="AB4" si="5">ROUND(L4/K4,4)</f>
        <v>0.8</v>
      </c>
      <c r="AC4" s="24" t="b">
        <f t="shared" ref="AC4" si="6">AB4=N4</f>
        <v>1</v>
      </c>
      <c r="AD4" s="24" t="b">
        <f t="shared" ref="AD4" si="7">K4=L4+M4</f>
        <v>1</v>
      </c>
    </row>
    <row r="5" spans="1:30" ht="24" x14ac:dyDescent="0.25">
      <c r="A5" s="144">
        <v>3</v>
      </c>
      <c r="B5" s="178" t="s">
        <v>74</v>
      </c>
      <c r="C5" s="149" t="s">
        <v>47</v>
      </c>
      <c r="D5" s="181" t="s">
        <v>59</v>
      </c>
      <c r="E5" s="212">
        <v>2604033</v>
      </c>
      <c r="F5" s="181" t="s">
        <v>60</v>
      </c>
      <c r="G5" s="185" t="s">
        <v>76</v>
      </c>
      <c r="H5" s="181" t="s">
        <v>49</v>
      </c>
      <c r="I5" s="187">
        <v>0.16</v>
      </c>
      <c r="J5" s="185" t="s">
        <v>77</v>
      </c>
      <c r="K5" s="197">
        <v>1230884.1000000001</v>
      </c>
      <c r="L5" s="190">
        <v>984707</v>
      </c>
      <c r="M5" s="190">
        <f>K5-L5</f>
        <v>246177.10000000009</v>
      </c>
      <c r="N5" s="192">
        <v>0.8</v>
      </c>
      <c r="O5" s="147">
        <v>0</v>
      </c>
      <c r="P5" s="147">
        <v>0</v>
      </c>
      <c r="Q5" s="195">
        <v>0</v>
      </c>
      <c r="R5" s="195">
        <v>0</v>
      </c>
      <c r="S5" s="195">
        <v>0</v>
      </c>
      <c r="T5" s="198">
        <v>2800</v>
      </c>
      <c r="U5" s="198">
        <v>16800</v>
      </c>
      <c r="V5" s="198">
        <v>965107</v>
      </c>
      <c r="W5" s="30"/>
      <c r="X5" s="30"/>
      <c r="Y5" s="30"/>
      <c r="Z5" s="30"/>
      <c r="AA5" s="1" t="b">
        <f t="shared" ref="AA5:AA6" si="8">L5=SUM(O5:Z5)</f>
        <v>1</v>
      </c>
      <c r="AB5" s="23">
        <f t="shared" ref="AB5:AB6" si="9">ROUND(L5/K5,4)</f>
        <v>0.8</v>
      </c>
      <c r="AC5" s="24" t="b">
        <f t="shared" ref="AC5:AC6" si="10">AB5=N5</f>
        <v>1</v>
      </c>
      <c r="AD5" s="24" t="b">
        <f t="shared" ref="AD5:AD6" si="11">K5=L5+M5</f>
        <v>1</v>
      </c>
    </row>
    <row r="6" spans="1:30" ht="24" x14ac:dyDescent="0.25">
      <c r="A6" s="144">
        <v>4</v>
      </c>
      <c r="B6" s="178" t="s">
        <v>78</v>
      </c>
      <c r="C6" s="149" t="s">
        <v>47</v>
      </c>
      <c r="D6" s="181" t="s">
        <v>62</v>
      </c>
      <c r="E6" s="212">
        <v>2601013</v>
      </c>
      <c r="F6" s="181" t="s">
        <v>63</v>
      </c>
      <c r="G6" s="185" t="s">
        <v>79</v>
      </c>
      <c r="H6" s="181" t="s">
        <v>49</v>
      </c>
      <c r="I6" s="187">
        <v>0.58699999999999997</v>
      </c>
      <c r="J6" s="185" t="s">
        <v>72</v>
      </c>
      <c r="K6" s="197">
        <v>5489284.8399999999</v>
      </c>
      <c r="L6" s="190">
        <v>4391427</v>
      </c>
      <c r="M6" s="190">
        <v>1097857.8400000001</v>
      </c>
      <c r="N6" s="192">
        <v>0.8</v>
      </c>
      <c r="O6" s="147">
        <v>0</v>
      </c>
      <c r="P6" s="147">
        <v>0</v>
      </c>
      <c r="Q6" s="195">
        <v>0</v>
      </c>
      <c r="R6" s="195">
        <v>0</v>
      </c>
      <c r="S6" s="195">
        <v>0</v>
      </c>
      <c r="T6" s="198">
        <v>508922</v>
      </c>
      <c r="U6" s="198">
        <v>3562453</v>
      </c>
      <c r="V6" s="198">
        <v>320052</v>
      </c>
      <c r="W6" s="210"/>
      <c r="X6" s="210"/>
      <c r="Y6" s="210"/>
      <c r="Z6" s="210"/>
      <c r="AA6" s="1" t="b">
        <f t="shared" si="8"/>
        <v>1</v>
      </c>
      <c r="AB6" s="23">
        <f t="shared" si="9"/>
        <v>0.8</v>
      </c>
      <c r="AC6" s="24" t="b">
        <f t="shared" si="10"/>
        <v>1</v>
      </c>
      <c r="AD6" s="24" t="b">
        <f t="shared" si="11"/>
        <v>1</v>
      </c>
    </row>
    <row r="7" spans="1:30" ht="36" x14ac:dyDescent="0.25">
      <c r="A7" s="144">
        <v>5</v>
      </c>
      <c r="B7" s="178" t="s">
        <v>81</v>
      </c>
      <c r="C7" s="149" t="s">
        <v>47</v>
      </c>
      <c r="D7" s="181" t="s">
        <v>66</v>
      </c>
      <c r="E7" s="184">
        <v>2608043</v>
      </c>
      <c r="F7" s="181" t="s">
        <v>67</v>
      </c>
      <c r="G7" s="185" t="s">
        <v>83</v>
      </c>
      <c r="H7" s="181" t="s">
        <v>49</v>
      </c>
      <c r="I7" s="187">
        <v>0.46200000000000002</v>
      </c>
      <c r="J7" s="185" t="s">
        <v>80</v>
      </c>
      <c r="K7" s="197">
        <v>1993313.5</v>
      </c>
      <c r="L7" s="190">
        <v>1395319</v>
      </c>
      <c r="M7" s="190">
        <f>K7-L7</f>
        <v>597994.5</v>
      </c>
      <c r="N7" s="192">
        <v>0.7</v>
      </c>
      <c r="O7" s="147">
        <v>0</v>
      </c>
      <c r="P7" s="147">
        <v>0</v>
      </c>
      <c r="Q7" s="148">
        <v>0</v>
      </c>
      <c r="R7" s="148">
        <v>0</v>
      </c>
      <c r="S7" s="148">
        <v>0</v>
      </c>
      <c r="T7" s="199">
        <f>500000</f>
        <v>500000</v>
      </c>
      <c r="U7" s="199">
        <v>611394</v>
      </c>
      <c r="V7" s="148">
        <v>283925</v>
      </c>
      <c r="W7" s="32"/>
      <c r="X7" s="32"/>
      <c r="Y7" s="32"/>
      <c r="Z7" s="30"/>
      <c r="AA7" s="1" t="b">
        <f t="shared" ref="AA7" si="12">L7=SUM(O7:Z7)</f>
        <v>1</v>
      </c>
      <c r="AB7" s="23">
        <f t="shared" ref="AB7" si="13">ROUND(L7/K7,4)</f>
        <v>0.7</v>
      </c>
      <c r="AC7" s="24" t="b">
        <f t="shared" ref="AC7" si="14">AB7=N7</f>
        <v>1</v>
      </c>
      <c r="AD7" s="24" t="b">
        <f t="shared" ref="AD7" si="15">K7=L7+M7</f>
        <v>1</v>
      </c>
    </row>
    <row r="8" spans="1:30" ht="24" x14ac:dyDescent="0.25">
      <c r="A8" s="144">
        <v>6</v>
      </c>
      <c r="B8" s="178" t="s">
        <v>95</v>
      </c>
      <c r="C8" s="149" t="s">
        <v>47</v>
      </c>
      <c r="D8" s="181" t="s">
        <v>62</v>
      </c>
      <c r="E8" s="212">
        <v>2601013</v>
      </c>
      <c r="F8" s="181" t="s">
        <v>63</v>
      </c>
      <c r="G8" s="185" t="s">
        <v>96</v>
      </c>
      <c r="H8" s="181" t="s">
        <v>49</v>
      </c>
      <c r="I8" s="187">
        <v>0.94399999999999995</v>
      </c>
      <c r="J8" s="185" t="s">
        <v>97</v>
      </c>
      <c r="K8" s="197">
        <v>9913814.9800000004</v>
      </c>
      <c r="L8" s="190">
        <v>7931051</v>
      </c>
      <c r="M8" s="190">
        <v>1982763.9800000004</v>
      </c>
      <c r="N8" s="192">
        <v>0.8</v>
      </c>
      <c r="O8" s="147">
        <v>0</v>
      </c>
      <c r="P8" s="147">
        <v>0</v>
      </c>
      <c r="Q8" s="148">
        <v>0</v>
      </c>
      <c r="R8" s="148">
        <v>0</v>
      </c>
      <c r="S8" s="148">
        <v>0</v>
      </c>
      <c r="T8" s="195">
        <v>0</v>
      </c>
      <c r="U8" s="195">
        <v>1189658</v>
      </c>
      <c r="V8" s="195">
        <v>3800000</v>
      </c>
      <c r="W8" s="195">
        <v>2941393</v>
      </c>
      <c r="X8" s="32"/>
      <c r="Y8" s="32"/>
      <c r="Z8" s="30"/>
      <c r="AA8" s="1" t="b">
        <f t="shared" ref="AA8:AA13" si="16">L8=SUM(O8:Z8)</f>
        <v>1</v>
      </c>
      <c r="AB8" s="23">
        <f t="shared" ref="AB8:AB13" si="17">ROUND(L8/K8,4)</f>
        <v>0.8</v>
      </c>
      <c r="AC8" s="24" t="b">
        <f t="shared" ref="AC8:AC13" si="18">AB8=N8</f>
        <v>1</v>
      </c>
      <c r="AD8" s="24" t="b">
        <f t="shared" ref="AD8:AD13" si="19">K8=L8+M8</f>
        <v>1</v>
      </c>
    </row>
    <row r="9" spans="1:30" ht="24" x14ac:dyDescent="0.25">
      <c r="A9" s="144">
        <v>7</v>
      </c>
      <c r="B9" s="178" t="s">
        <v>98</v>
      </c>
      <c r="C9" s="149" t="s">
        <v>47</v>
      </c>
      <c r="D9" s="181" t="s">
        <v>64</v>
      </c>
      <c r="E9" s="212">
        <v>2605033</v>
      </c>
      <c r="F9" s="181" t="s">
        <v>65</v>
      </c>
      <c r="G9" s="185" t="s">
        <v>99</v>
      </c>
      <c r="H9" s="181" t="s">
        <v>49</v>
      </c>
      <c r="I9" s="187">
        <v>0.92500000000000004</v>
      </c>
      <c r="J9" s="185" t="s">
        <v>100</v>
      </c>
      <c r="K9" s="197">
        <v>7373448.4299999997</v>
      </c>
      <c r="L9" s="190">
        <v>5622760</v>
      </c>
      <c r="M9" s="190">
        <v>1750688.43</v>
      </c>
      <c r="N9" s="192">
        <v>0.8</v>
      </c>
      <c r="O9" s="147">
        <v>0</v>
      </c>
      <c r="P9" s="147">
        <v>0</v>
      </c>
      <c r="Q9" s="148">
        <v>0</v>
      </c>
      <c r="R9" s="148">
        <v>0</v>
      </c>
      <c r="S9" s="148">
        <v>0</v>
      </c>
      <c r="T9" s="195">
        <v>0</v>
      </c>
      <c r="U9" s="195">
        <v>1600000</v>
      </c>
      <c r="V9" s="195">
        <v>4022760</v>
      </c>
      <c r="W9" s="195"/>
      <c r="X9" s="32"/>
      <c r="Y9" s="32"/>
      <c r="Z9" s="30"/>
      <c r="AA9" s="1" t="b">
        <f t="shared" si="16"/>
        <v>1</v>
      </c>
      <c r="AB9" s="23">
        <f t="shared" si="17"/>
        <v>0.76259999999999994</v>
      </c>
      <c r="AC9" s="24" t="b">
        <f t="shared" si="18"/>
        <v>0</v>
      </c>
      <c r="AD9" s="24" t="b">
        <f t="shared" si="19"/>
        <v>1</v>
      </c>
    </row>
    <row r="10" spans="1:30" ht="45.75" customHeight="1" x14ac:dyDescent="0.25">
      <c r="A10" s="144">
        <v>8</v>
      </c>
      <c r="B10" s="178" t="s">
        <v>101</v>
      </c>
      <c r="C10" s="149" t="s">
        <v>47</v>
      </c>
      <c r="D10" s="181" t="s">
        <v>82</v>
      </c>
      <c r="E10" s="212">
        <v>2606053</v>
      </c>
      <c r="F10" s="181" t="s">
        <v>70</v>
      </c>
      <c r="G10" s="185" t="s">
        <v>102</v>
      </c>
      <c r="H10" s="181" t="s">
        <v>49</v>
      </c>
      <c r="I10" s="187">
        <v>1.355</v>
      </c>
      <c r="J10" s="185" t="s">
        <v>103</v>
      </c>
      <c r="K10" s="197">
        <v>13477923.890000001</v>
      </c>
      <c r="L10" s="190">
        <v>8086754</v>
      </c>
      <c r="M10" s="190">
        <f>K10-L10</f>
        <v>5391169.8900000006</v>
      </c>
      <c r="N10" s="192">
        <v>0.6</v>
      </c>
      <c r="O10" s="147">
        <v>0</v>
      </c>
      <c r="P10" s="147">
        <v>0</v>
      </c>
      <c r="Q10" s="148">
        <v>0</v>
      </c>
      <c r="R10" s="148">
        <v>0</v>
      </c>
      <c r="S10" s="148">
        <v>0</v>
      </c>
      <c r="T10" s="195">
        <v>0</v>
      </c>
      <c r="U10" s="195">
        <v>3000000</v>
      </c>
      <c r="V10" s="195">
        <v>3000000</v>
      </c>
      <c r="W10" s="195">
        <v>2086754</v>
      </c>
      <c r="X10" s="32"/>
      <c r="Y10" s="32"/>
      <c r="Z10" s="30"/>
      <c r="AA10" s="1" t="b">
        <f t="shared" si="16"/>
        <v>1</v>
      </c>
      <c r="AB10" s="23">
        <f t="shared" si="17"/>
        <v>0.6</v>
      </c>
      <c r="AC10" s="24" t="b">
        <f t="shared" si="18"/>
        <v>1</v>
      </c>
      <c r="AD10" s="24" t="b">
        <f t="shared" si="19"/>
        <v>1</v>
      </c>
    </row>
    <row r="11" spans="1:30" ht="24" x14ac:dyDescent="0.25">
      <c r="A11" s="144">
        <v>9</v>
      </c>
      <c r="B11" s="178" t="s">
        <v>104</v>
      </c>
      <c r="C11" s="149" t="s">
        <v>47</v>
      </c>
      <c r="D11" s="181" t="s">
        <v>105</v>
      </c>
      <c r="E11" s="212">
        <v>2610042</v>
      </c>
      <c r="F11" s="181" t="s">
        <v>68</v>
      </c>
      <c r="G11" s="185" t="s">
        <v>106</v>
      </c>
      <c r="H11" s="181" t="s">
        <v>49</v>
      </c>
      <c r="I11" s="187">
        <v>1.117</v>
      </c>
      <c r="J11" s="185" t="s">
        <v>107</v>
      </c>
      <c r="K11" s="197">
        <v>4440678.75</v>
      </c>
      <c r="L11" s="190">
        <v>3552543</v>
      </c>
      <c r="M11" s="190">
        <f>K11-L11</f>
        <v>888135.75</v>
      </c>
      <c r="N11" s="192">
        <v>0.8</v>
      </c>
      <c r="O11" s="147">
        <v>0</v>
      </c>
      <c r="P11" s="147">
        <v>0</v>
      </c>
      <c r="Q11" s="148">
        <v>0</v>
      </c>
      <c r="R11" s="148">
        <v>0</v>
      </c>
      <c r="S11" s="148">
        <v>0</v>
      </c>
      <c r="T11" s="195">
        <v>0</v>
      </c>
      <c r="U11" s="298">
        <v>888135.75</v>
      </c>
      <c r="V11" s="298">
        <v>2664407.25</v>
      </c>
      <c r="W11" s="194"/>
      <c r="X11" s="32"/>
      <c r="Y11" s="32"/>
      <c r="Z11" s="30"/>
      <c r="AA11" s="1" t="b">
        <f t="shared" si="16"/>
        <v>1</v>
      </c>
      <c r="AB11" s="23">
        <f t="shared" si="17"/>
        <v>0.8</v>
      </c>
      <c r="AC11" s="24" t="b">
        <f t="shared" si="18"/>
        <v>1</v>
      </c>
      <c r="AD11" s="24" t="b">
        <f t="shared" si="19"/>
        <v>1</v>
      </c>
    </row>
    <row r="12" spans="1:30" ht="36" x14ac:dyDescent="0.25">
      <c r="A12" s="144">
        <v>10</v>
      </c>
      <c r="B12" s="178" t="s">
        <v>108</v>
      </c>
      <c r="C12" s="149" t="s">
        <v>47</v>
      </c>
      <c r="D12" s="181" t="s">
        <v>59</v>
      </c>
      <c r="E12" s="212">
        <v>2604033</v>
      </c>
      <c r="F12" s="181" t="s">
        <v>60</v>
      </c>
      <c r="G12" s="185" t="s">
        <v>109</v>
      </c>
      <c r="H12" s="181" t="s">
        <v>50</v>
      </c>
      <c r="I12" s="187">
        <v>0.95499999999999996</v>
      </c>
      <c r="J12" s="185" t="s">
        <v>87</v>
      </c>
      <c r="K12" s="197">
        <v>2781534.4</v>
      </c>
      <c r="L12" s="190">
        <v>2225217</v>
      </c>
      <c r="M12" s="190">
        <f>K12-L12</f>
        <v>556317.39999999991</v>
      </c>
      <c r="N12" s="192">
        <v>0.8</v>
      </c>
      <c r="O12" s="147">
        <v>0</v>
      </c>
      <c r="P12" s="147">
        <v>0</v>
      </c>
      <c r="Q12" s="148">
        <v>0</v>
      </c>
      <c r="R12" s="148">
        <v>0</v>
      </c>
      <c r="S12" s="148">
        <v>0</v>
      </c>
      <c r="T12" s="195">
        <v>0</v>
      </c>
      <c r="U12" s="195">
        <v>1194194</v>
      </c>
      <c r="V12" s="195">
        <v>1031023</v>
      </c>
      <c r="W12" s="195"/>
      <c r="X12" s="32"/>
      <c r="Y12" s="32"/>
      <c r="Z12" s="30"/>
      <c r="AA12" s="1" t="b">
        <f t="shared" si="16"/>
        <v>1</v>
      </c>
      <c r="AB12" s="23">
        <f t="shared" si="17"/>
        <v>0.8</v>
      </c>
      <c r="AC12" s="24" t="b">
        <f t="shared" si="18"/>
        <v>1</v>
      </c>
      <c r="AD12" s="24" t="b">
        <f t="shared" si="19"/>
        <v>1</v>
      </c>
    </row>
    <row r="13" spans="1:30" ht="24" x14ac:dyDescent="0.25">
      <c r="A13" s="144">
        <v>11</v>
      </c>
      <c r="B13" s="178" t="s">
        <v>110</v>
      </c>
      <c r="C13" s="149" t="s">
        <v>47</v>
      </c>
      <c r="D13" s="181" t="s">
        <v>62</v>
      </c>
      <c r="E13" s="212">
        <v>2601013</v>
      </c>
      <c r="F13" s="181" t="s">
        <v>63</v>
      </c>
      <c r="G13" s="185" t="s">
        <v>111</v>
      </c>
      <c r="H13" s="181" t="s">
        <v>49</v>
      </c>
      <c r="I13" s="187">
        <v>0.34200000000000003</v>
      </c>
      <c r="J13" s="185" t="s">
        <v>112</v>
      </c>
      <c r="K13" s="197">
        <v>3723330.46</v>
      </c>
      <c r="L13" s="190">
        <v>2978664</v>
      </c>
      <c r="M13" s="190">
        <v>744666.46</v>
      </c>
      <c r="N13" s="192">
        <v>0.8</v>
      </c>
      <c r="O13" s="147">
        <v>0</v>
      </c>
      <c r="P13" s="147">
        <v>0</v>
      </c>
      <c r="Q13" s="148">
        <v>0</v>
      </c>
      <c r="R13" s="148">
        <v>0</v>
      </c>
      <c r="S13" s="148">
        <v>0</v>
      </c>
      <c r="T13" s="195">
        <v>0</v>
      </c>
      <c r="U13" s="195">
        <v>446800</v>
      </c>
      <c r="V13" s="195">
        <v>1489332</v>
      </c>
      <c r="W13" s="195">
        <v>1042532</v>
      </c>
      <c r="X13" s="32"/>
      <c r="Y13" s="32"/>
      <c r="Z13" s="30"/>
      <c r="AA13" s="1" t="b">
        <f t="shared" si="16"/>
        <v>1</v>
      </c>
      <c r="AB13" s="23">
        <f t="shared" si="17"/>
        <v>0.8</v>
      </c>
      <c r="AC13" s="24" t="b">
        <f t="shared" si="18"/>
        <v>1</v>
      </c>
      <c r="AD13" s="24" t="b">
        <f t="shared" si="19"/>
        <v>1</v>
      </c>
    </row>
    <row r="14" spans="1:30" ht="24.75" customHeight="1" x14ac:dyDescent="0.25">
      <c r="A14" s="144">
        <v>12</v>
      </c>
      <c r="B14" s="178" t="s">
        <v>113</v>
      </c>
      <c r="C14" s="149" t="s">
        <v>47</v>
      </c>
      <c r="D14" s="181" t="s">
        <v>61</v>
      </c>
      <c r="E14" s="184">
        <v>2604192</v>
      </c>
      <c r="F14" s="181" t="s">
        <v>60</v>
      </c>
      <c r="G14" s="185" t="s">
        <v>114</v>
      </c>
      <c r="H14" s="181" t="s">
        <v>49</v>
      </c>
      <c r="I14" s="187">
        <v>0.14499999999999999</v>
      </c>
      <c r="J14" s="185" t="s">
        <v>92</v>
      </c>
      <c r="K14" s="197">
        <v>1305512</v>
      </c>
      <c r="L14" s="190">
        <v>1044409</v>
      </c>
      <c r="M14" s="190">
        <v>261103</v>
      </c>
      <c r="N14" s="192">
        <v>0.8</v>
      </c>
      <c r="O14" s="147">
        <v>0</v>
      </c>
      <c r="P14" s="147">
        <v>0</v>
      </c>
      <c r="Q14" s="195">
        <v>0</v>
      </c>
      <c r="R14" s="195">
        <v>0</v>
      </c>
      <c r="S14" s="195">
        <v>0</v>
      </c>
      <c r="T14" s="198">
        <v>0</v>
      </c>
      <c r="U14" s="199">
        <v>400000</v>
      </c>
      <c r="V14" s="148">
        <v>644409</v>
      </c>
      <c r="W14" s="194"/>
      <c r="X14" s="32"/>
      <c r="Y14" s="32"/>
      <c r="Z14" s="30"/>
      <c r="AA14" s="1" t="b">
        <f t="shared" ref="AA14" si="20">L14=SUM(O14:Z14)</f>
        <v>1</v>
      </c>
      <c r="AB14" s="23">
        <f t="shared" ref="AB14" si="21">ROUND(L14/K14,4)</f>
        <v>0.8</v>
      </c>
      <c r="AC14" s="24" t="b">
        <f t="shared" ref="AC14" si="22">AB14=N14</f>
        <v>1</v>
      </c>
      <c r="AD14" s="24" t="b">
        <f t="shared" ref="AD14" si="23">K14=L14+M14</f>
        <v>1</v>
      </c>
    </row>
    <row r="15" spans="1:30" ht="24.75" customHeight="1" x14ac:dyDescent="0.25">
      <c r="A15" s="300">
        <v>13</v>
      </c>
      <c r="B15" s="178" t="s">
        <v>508</v>
      </c>
      <c r="C15" s="222" t="s">
        <v>47</v>
      </c>
      <c r="D15" s="181" t="s">
        <v>61</v>
      </c>
      <c r="E15" s="184">
        <v>2604192</v>
      </c>
      <c r="F15" s="181" t="s">
        <v>60</v>
      </c>
      <c r="G15" s="216" t="s">
        <v>509</v>
      </c>
      <c r="H15" s="181" t="s">
        <v>49</v>
      </c>
      <c r="I15" s="187">
        <v>0.28199999999999997</v>
      </c>
      <c r="J15" s="185" t="s">
        <v>92</v>
      </c>
      <c r="K15" s="197">
        <v>1184751.07</v>
      </c>
      <c r="L15" s="190">
        <v>947800</v>
      </c>
      <c r="M15" s="190">
        <v>236951.07</v>
      </c>
      <c r="N15" s="192">
        <v>0.8</v>
      </c>
      <c r="O15" s="147">
        <v>0</v>
      </c>
      <c r="P15" s="147">
        <v>0</v>
      </c>
      <c r="Q15" s="195">
        <v>0</v>
      </c>
      <c r="R15" s="195">
        <v>0</v>
      </c>
      <c r="S15" s="195">
        <v>0</v>
      </c>
      <c r="T15" s="198">
        <v>0</v>
      </c>
      <c r="U15" s="199">
        <v>640000</v>
      </c>
      <c r="V15" s="148">
        <v>307800</v>
      </c>
      <c r="W15" s="194"/>
      <c r="X15" s="32"/>
      <c r="Y15" s="32"/>
      <c r="Z15" s="30"/>
      <c r="AA15" s="1"/>
      <c r="AB15" s="23"/>
      <c r="AC15" s="24"/>
      <c r="AD15" s="24"/>
    </row>
    <row r="16" spans="1:30" ht="24" x14ac:dyDescent="0.25">
      <c r="A16" s="151">
        <v>14</v>
      </c>
      <c r="B16" s="211" t="s">
        <v>147</v>
      </c>
      <c r="C16" s="177" t="s">
        <v>121</v>
      </c>
      <c r="D16" s="180" t="s">
        <v>148</v>
      </c>
      <c r="E16" s="182">
        <v>2607011</v>
      </c>
      <c r="F16" s="180" t="s">
        <v>486</v>
      </c>
      <c r="G16" s="183" t="s">
        <v>149</v>
      </c>
      <c r="H16" s="180" t="s">
        <v>50</v>
      </c>
      <c r="I16" s="186">
        <v>0.98799999999999999</v>
      </c>
      <c r="J16" s="183" t="s">
        <v>150</v>
      </c>
      <c r="K16" s="196">
        <v>11324822.970000001</v>
      </c>
      <c r="L16" s="189">
        <v>7927376</v>
      </c>
      <c r="M16" s="189">
        <v>3397446.97</v>
      </c>
      <c r="N16" s="191">
        <v>0.7</v>
      </c>
      <c r="O16" s="193">
        <v>0</v>
      </c>
      <c r="P16" s="193">
        <v>0</v>
      </c>
      <c r="Q16" s="194">
        <v>0</v>
      </c>
      <c r="R16" s="194">
        <v>0</v>
      </c>
      <c r="S16" s="194">
        <v>0</v>
      </c>
      <c r="T16" s="213">
        <v>0</v>
      </c>
      <c r="U16" s="233">
        <v>0</v>
      </c>
      <c r="V16" s="194">
        <v>7927376</v>
      </c>
      <c r="W16" s="194"/>
      <c r="X16" s="32"/>
      <c r="Y16" s="32"/>
      <c r="Z16" s="292"/>
      <c r="AA16" s="1" t="b">
        <f t="shared" ref="AA16:AA49" si="24">L16=SUM(O16:Z16)</f>
        <v>1</v>
      </c>
      <c r="AB16" s="23">
        <f t="shared" ref="AB16:AB49" si="25">ROUND(L16/K16,4)</f>
        <v>0.7</v>
      </c>
      <c r="AC16" s="24" t="b">
        <f t="shared" ref="AC16:AC49" si="26">AB16=N16</f>
        <v>1</v>
      </c>
      <c r="AD16" s="24" t="b">
        <f t="shared" ref="AD16:AD49" si="27">K16=L16+M16</f>
        <v>1</v>
      </c>
    </row>
    <row r="17" spans="1:30" ht="24" x14ac:dyDescent="0.25">
      <c r="A17" s="151">
        <v>15</v>
      </c>
      <c r="B17" s="211" t="s">
        <v>151</v>
      </c>
      <c r="C17" s="177" t="s">
        <v>121</v>
      </c>
      <c r="D17" s="180" t="s">
        <v>152</v>
      </c>
      <c r="E17" s="182">
        <v>2604133</v>
      </c>
      <c r="F17" s="180" t="s">
        <v>60</v>
      </c>
      <c r="G17" s="183" t="s">
        <v>153</v>
      </c>
      <c r="H17" s="180" t="s">
        <v>49</v>
      </c>
      <c r="I17" s="186">
        <v>0.26100000000000001</v>
      </c>
      <c r="J17" s="183" t="s">
        <v>127</v>
      </c>
      <c r="K17" s="196">
        <v>3546333.29</v>
      </c>
      <c r="L17" s="189">
        <v>2837066</v>
      </c>
      <c r="M17" s="189">
        <v>709267.29</v>
      </c>
      <c r="N17" s="191">
        <v>0.8</v>
      </c>
      <c r="O17" s="193">
        <v>0</v>
      </c>
      <c r="P17" s="193">
        <v>0</v>
      </c>
      <c r="Q17" s="194">
        <v>0</v>
      </c>
      <c r="R17" s="194">
        <v>0</v>
      </c>
      <c r="S17" s="194">
        <v>0</v>
      </c>
      <c r="T17" s="213">
        <v>0</v>
      </c>
      <c r="U17" s="233">
        <v>0</v>
      </c>
      <c r="V17" s="194">
        <v>2837066</v>
      </c>
      <c r="W17" s="194"/>
      <c r="X17" s="32"/>
      <c r="Y17" s="32"/>
      <c r="Z17" s="292"/>
      <c r="AA17" s="1" t="b">
        <f t="shared" si="24"/>
        <v>1</v>
      </c>
      <c r="AB17" s="23">
        <f t="shared" si="25"/>
        <v>0.8</v>
      </c>
      <c r="AC17" s="24" t="b">
        <f t="shared" si="26"/>
        <v>1</v>
      </c>
      <c r="AD17" s="24" t="b">
        <f t="shared" si="27"/>
        <v>1</v>
      </c>
    </row>
    <row r="18" spans="1:30" ht="24" x14ac:dyDescent="0.25">
      <c r="A18" s="151">
        <v>16</v>
      </c>
      <c r="B18" s="211" t="s">
        <v>154</v>
      </c>
      <c r="C18" s="177" t="s">
        <v>121</v>
      </c>
      <c r="D18" s="180" t="s">
        <v>155</v>
      </c>
      <c r="E18" s="182">
        <v>2611022</v>
      </c>
      <c r="F18" s="180" t="s">
        <v>487</v>
      </c>
      <c r="G18" s="183" t="s">
        <v>156</v>
      </c>
      <c r="H18" s="180" t="s">
        <v>50</v>
      </c>
      <c r="I18" s="186">
        <v>0.55800000000000005</v>
      </c>
      <c r="J18" s="183" t="s">
        <v>157</v>
      </c>
      <c r="K18" s="196">
        <v>4076622.4</v>
      </c>
      <c r="L18" s="189">
        <v>2853635</v>
      </c>
      <c r="M18" s="189">
        <v>1222987.3999999999</v>
      </c>
      <c r="N18" s="191">
        <v>0.7</v>
      </c>
      <c r="O18" s="193">
        <v>0</v>
      </c>
      <c r="P18" s="193">
        <v>0</v>
      </c>
      <c r="Q18" s="194">
        <v>0</v>
      </c>
      <c r="R18" s="194">
        <v>0</v>
      </c>
      <c r="S18" s="194">
        <v>0</v>
      </c>
      <c r="T18" s="213">
        <v>0</v>
      </c>
      <c r="U18" s="233">
        <v>0</v>
      </c>
      <c r="V18" s="194">
        <v>2853635</v>
      </c>
      <c r="W18" s="194"/>
      <c r="X18" s="32"/>
      <c r="Y18" s="32"/>
      <c r="Z18" s="292"/>
      <c r="AA18" s="1" t="b">
        <f t="shared" ref="AA18:AA48" si="28">L18=SUM(O18:Z18)</f>
        <v>1</v>
      </c>
      <c r="AB18" s="23">
        <f t="shared" ref="AB18:AB48" si="29">ROUND(L18/K18,4)</f>
        <v>0.7</v>
      </c>
      <c r="AC18" s="24" t="b">
        <f t="shared" ref="AC18:AC48" si="30">AB18=N18</f>
        <v>1</v>
      </c>
      <c r="AD18" s="24" t="b">
        <f t="shared" ref="AD18:AD48" si="31">K18=L18+M18</f>
        <v>1</v>
      </c>
    </row>
    <row r="19" spans="1:30" x14ac:dyDescent="0.25">
      <c r="A19" s="151">
        <v>17</v>
      </c>
      <c r="B19" s="211" t="s">
        <v>158</v>
      </c>
      <c r="C19" s="177" t="s">
        <v>121</v>
      </c>
      <c r="D19" s="180" t="s">
        <v>159</v>
      </c>
      <c r="E19" s="182">
        <v>2607062</v>
      </c>
      <c r="F19" s="180" t="s">
        <v>486</v>
      </c>
      <c r="G19" s="183" t="s">
        <v>160</v>
      </c>
      <c r="H19" s="180" t="s">
        <v>130</v>
      </c>
      <c r="I19" s="186">
        <v>1.57</v>
      </c>
      <c r="J19" s="183" t="s">
        <v>161</v>
      </c>
      <c r="K19" s="196">
        <v>1597653.15</v>
      </c>
      <c r="L19" s="189">
        <v>1118357</v>
      </c>
      <c r="M19" s="189">
        <v>479296.15</v>
      </c>
      <c r="N19" s="191">
        <v>0.7</v>
      </c>
      <c r="O19" s="193">
        <v>0</v>
      </c>
      <c r="P19" s="193">
        <v>0</v>
      </c>
      <c r="Q19" s="194">
        <v>0</v>
      </c>
      <c r="R19" s="194">
        <v>0</v>
      </c>
      <c r="S19" s="194">
        <v>0</v>
      </c>
      <c r="T19" s="213">
        <v>0</v>
      </c>
      <c r="U19" s="233">
        <v>0</v>
      </c>
      <c r="V19" s="194">
        <v>1118357</v>
      </c>
      <c r="W19" s="194"/>
      <c r="X19" s="32"/>
      <c r="Y19" s="32"/>
      <c r="Z19" s="292"/>
      <c r="AA19" s="1" t="b">
        <f t="shared" si="28"/>
        <v>1</v>
      </c>
      <c r="AB19" s="23">
        <f t="shared" si="29"/>
        <v>0.7</v>
      </c>
      <c r="AC19" s="24" t="b">
        <f t="shared" si="30"/>
        <v>1</v>
      </c>
      <c r="AD19" s="24" t="b">
        <f t="shared" si="31"/>
        <v>1</v>
      </c>
    </row>
    <row r="20" spans="1:30" ht="24" x14ac:dyDescent="0.25">
      <c r="A20" s="151">
        <v>18</v>
      </c>
      <c r="B20" s="211" t="s">
        <v>162</v>
      </c>
      <c r="C20" s="177" t="s">
        <v>121</v>
      </c>
      <c r="D20" s="180" t="s">
        <v>155</v>
      </c>
      <c r="E20" s="182">
        <v>2611022</v>
      </c>
      <c r="F20" s="180" t="s">
        <v>487</v>
      </c>
      <c r="G20" s="183" t="s">
        <v>163</v>
      </c>
      <c r="H20" s="180" t="s">
        <v>50</v>
      </c>
      <c r="I20" s="186">
        <v>0.88100000000000001</v>
      </c>
      <c r="J20" s="183" t="s">
        <v>157</v>
      </c>
      <c r="K20" s="196">
        <v>2922734.24</v>
      </c>
      <c r="L20" s="189">
        <v>2045913</v>
      </c>
      <c r="M20" s="189">
        <v>876821.24</v>
      </c>
      <c r="N20" s="191">
        <v>0.7</v>
      </c>
      <c r="O20" s="193">
        <v>0</v>
      </c>
      <c r="P20" s="193">
        <v>0</v>
      </c>
      <c r="Q20" s="194">
        <v>0</v>
      </c>
      <c r="R20" s="194">
        <v>0</v>
      </c>
      <c r="S20" s="194">
        <v>0</v>
      </c>
      <c r="T20" s="213">
        <v>0</v>
      </c>
      <c r="U20" s="233">
        <v>0</v>
      </c>
      <c r="V20" s="194">
        <v>2045913</v>
      </c>
      <c r="W20" s="194"/>
      <c r="X20" s="32"/>
      <c r="Y20" s="32"/>
      <c r="Z20" s="292"/>
      <c r="AA20" s="1" t="b">
        <f t="shared" si="28"/>
        <v>1</v>
      </c>
      <c r="AB20" s="23">
        <f t="shared" si="29"/>
        <v>0.7</v>
      </c>
      <c r="AC20" s="24" t="b">
        <f t="shared" si="30"/>
        <v>1</v>
      </c>
      <c r="AD20" s="24" t="b">
        <f t="shared" si="31"/>
        <v>1</v>
      </c>
    </row>
    <row r="21" spans="1:30" ht="24" x14ac:dyDescent="0.25">
      <c r="A21" s="151">
        <v>19</v>
      </c>
      <c r="B21" s="211" t="s">
        <v>164</v>
      </c>
      <c r="C21" s="177" t="s">
        <v>121</v>
      </c>
      <c r="D21" s="180" t="s">
        <v>165</v>
      </c>
      <c r="E21" s="182">
        <v>2604172</v>
      </c>
      <c r="F21" s="180" t="s">
        <v>60</v>
      </c>
      <c r="G21" s="183" t="s">
        <v>166</v>
      </c>
      <c r="H21" s="180" t="s">
        <v>50</v>
      </c>
      <c r="I21" s="186">
        <v>0.70799999999999996</v>
      </c>
      <c r="J21" s="183" t="s">
        <v>167</v>
      </c>
      <c r="K21" s="196">
        <v>4448595.04</v>
      </c>
      <c r="L21" s="189">
        <v>2669157</v>
      </c>
      <c r="M21" s="189">
        <v>1779438.04</v>
      </c>
      <c r="N21" s="191">
        <v>0.6</v>
      </c>
      <c r="O21" s="193">
        <v>0</v>
      </c>
      <c r="P21" s="193">
        <v>0</v>
      </c>
      <c r="Q21" s="194">
        <v>0</v>
      </c>
      <c r="R21" s="194">
        <v>0</v>
      </c>
      <c r="S21" s="194">
        <v>0</v>
      </c>
      <c r="T21" s="213">
        <v>0</v>
      </c>
      <c r="U21" s="233">
        <v>0</v>
      </c>
      <c r="V21" s="194">
        <v>2669157</v>
      </c>
      <c r="W21" s="194"/>
      <c r="X21" s="32"/>
      <c r="Y21" s="32"/>
      <c r="Z21" s="292"/>
      <c r="AA21" s="1" t="b">
        <f t="shared" si="28"/>
        <v>1</v>
      </c>
      <c r="AB21" s="23">
        <f t="shared" si="29"/>
        <v>0.6</v>
      </c>
      <c r="AC21" s="24" t="b">
        <f t="shared" si="30"/>
        <v>1</v>
      </c>
      <c r="AD21" s="24" t="b">
        <f t="shared" si="31"/>
        <v>1</v>
      </c>
    </row>
    <row r="22" spans="1:30" ht="24" x14ac:dyDescent="0.25">
      <c r="A22" s="151">
        <v>20</v>
      </c>
      <c r="B22" s="211" t="s">
        <v>168</v>
      </c>
      <c r="C22" s="177" t="s">
        <v>121</v>
      </c>
      <c r="D22" s="180" t="s">
        <v>148</v>
      </c>
      <c r="E22" s="182">
        <v>2607011</v>
      </c>
      <c r="F22" s="180" t="s">
        <v>486</v>
      </c>
      <c r="G22" s="183" t="s">
        <v>169</v>
      </c>
      <c r="H22" s="180" t="s">
        <v>49</v>
      </c>
      <c r="I22" s="186">
        <v>0.66900000000000004</v>
      </c>
      <c r="J22" s="183" t="s">
        <v>150</v>
      </c>
      <c r="K22" s="196">
        <v>6250162.3499999996</v>
      </c>
      <c r="L22" s="189">
        <v>4375113</v>
      </c>
      <c r="M22" s="189">
        <v>1875049.35</v>
      </c>
      <c r="N22" s="191">
        <v>0.7</v>
      </c>
      <c r="O22" s="193">
        <v>0</v>
      </c>
      <c r="P22" s="193">
        <v>0</v>
      </c>
      <c r="Q22" s="194">
        <v>0</v>
      </c>
      <c r="R22" s="194">
        <v>0</v>
      </c>
      <c r="S22" s="194">
        <v>0</v>
      </c>
      <c r="T22" s="213">
        <v>0</v>
      </c>
      <c r="U22" s="233">
        <v>0</v>
      </c>
      <c r="V22" s="194">
        <v>4375113</v>
      </c>
      <c r="W22" s="194"/>
      <c r="X22" s="32"/>
      <c r="Y22" s="32"/>
      <c r="Z22" s="292"/>
      <c r="AA22" s="1" t="b">
        <f t="shared" si="28"/>
        <v>1</v>
      </c>
      <c r="AB22" s="23">
        <f t="shared" si="29"/>
        <v>0.7</v>
      </c>
      <c r="AC22" s="24" t="b">
        <f t="shared" si="30"/>
        <v>1</v>
      </c>
      <c r="AD22" s="24" t="b">
        <f t="shared" si="31"/>
        <v>1</v>
      </c>
    </row>
    <row r="23" spans="1:30" ht="24.75" customHeight="1" x14ac:dyDescent="0.25">
      <c r="A23" s="151">
        <v>21</v>
      </c>
      <c r="B23" s="211" t="s">
        <v>170</v>
      </c>
      <c r="C23" s="177" t="s">
        <v>121</v>
      </c>
      <c r="D23" s="180" t="s">
        <v>171</v>
      </c>
      <c r="E23" s="182">
        <v>2612062</v>
      </c>
      <c r="F23" s="180" t="s">
        <v>488</v>
      </c>
      <c r="G23" s="183" t="s">
        <v>172</v>
      </c>
      <c r="H23" s="180" t="s">
        <v>50</v>
      </c>
      <c r="I23" s="186">
        <v>0.37</v>
      </c>
      <c r="J23" s="183" t="s">
        <v>167</v>
      </c>
      <c r="K23" s="196">
        <v>875000</v>
      </c>
      <c r="L23" s="189">
        <v>525000</v>
      </c>
      <c r="M23" s="189">
        <v>350000</v>
      </c>
      <c r="N23" s="191">
        <v>0.6</v>
      </c>
      <c r="O23" s="193">
        <v>0</v>
      </c>
      <c r="P23" s="193">
        <v>0</v>
      </c>
      <c r="Q23" s="194">
        <v>0</v>
      </c>
      <c r="R23" s="194">
        <v>0</v>
      </c>
      <c r="S23" s="194">
        <v>0</v>
      </c>
      <c r="T23" s="213">
        <v>0</v>
      </c>
      <c r="U23" s="233">
        <v>0</v>
      </c>
      <c r="V23" s="194">
        <v>525000</v>
      </c>
      <c r="W23" s="194"/>
      <c r="X23" s="32"/>
      <c r="Y23" s="32"/>
      <c r="Z23" s="292"/>
      <c r="AA23" s="1" t="b">
        <f t="shared" si="28"/>
        <v>1</v>
      </c>
      <c r="AB23" s="23">
        <f t="shared" si="29"/>
        <v>0.6</v>
      </c>
      <c r="AC23" s="24" t="b">
        <f t="shared" si="30"/>
        <v>1</v>
      </c>
      <c r="AD23" s="24" t="b">
        <f t="shared" si="31"/>
        <v>1</v>
      </c>
    </row>
    <row r="24" spans="1:30" ht="15" customHeight="1" x14ac:dyDescent="0.25">
      <c r="A24" s="151">
        <v>22</v>
      </c>
      <c r="B24" s="211" t="s">
        <v>173</v>
      </c>
      <c r="C24" s="177" t="s">
        <v>121</v>
      </c>
      <c r="D24" s="180" t="s">
        <v>159</v>
      </c>
      <c r="E24" s="182">
        <v>2607062</v>
      </c>
      <c r="F24" s="180" t="s">
        <v>486</v>
      </c>
      <c r="G24" s="183" t="s">
        <v>174</v>
      </c>
      <c r="H24" s="180" t="s">
        <v>130</v>
      </c>
      <c r="I24" s="186">
        <v>0.3</v>
      </c>
      <c r="J24" s="183" t="s">
        <v>161</v>
      </c>
      <c r="K24" s="196">
        <v>597724.65</v>
      </c>
      <c r="L24" s="189">
        <v>418407</v>
      </c>
      <c r="M24" s="189">
        <v>179317.65</v>
      </c>
      <c r="N24" s="191">
        <v>0.7</v>
      </c>
      <c r="O24" s="193">
        <v>0</v>
      </c>
      <c r="P24" s="193">
        <v>0</v>
      </c>
      <c r="Q24" s="194">
        <v>0</v>
      </c>
      <c r="R24" s="194">
        <v>0</v>
      </c>
      <c r="S24" s="194">
        <v>0</v>
      </c>
      <c r="T24" s="213">
        <v>0</v>
      </c>
      <c r="U24" s="233">
        <v>0</v>
      </c>
      <c r="V24" s="194">
        <v>418407</v>
      </c>
      <c r="W24" s="194"/>
      <c r="X24" s="32"/>
      <c r="Y24" s="32"/>
      <c r="Z24" s="292"/>
      <c r="AA24" s="1" t="b">
        <f t="shared" si="28"/>
        <v>1</v>
      </c>
      <c r="AB24" s="23">
        <f t="shared" si="29"/>
        <v>0.7</v>
      </c>
      <c r="AC24" s="24" t="b">
        <f t="shared" si="30"/>
        <v>1</v>
      </c>
      <c r="AD24" s="24" t="b">
        <f t="shared" si="31"/>
        <v>1</v>
      </c>
    </row>
    <row r="25" spans="1:30" s="261" customFormat="1" ht="24" x14ac:dyDescent="0.25">
      <c r="A25" s="144">
        <v>23</v>
      </c>
      <c r="B25" s="178" t="s">
        <v>175</v>
      </c>
      <c r="C25" s="142" t="s">
        <v>85</v>
      </c>
      <c r="D25" s="181" t="s">
        <v>105</v>
      </c>
      <c r="E25" s="184">
        <v>2610042</v>
      </c>
      <c r="F25" s="181" t="s">
        <v>68</v>
      </c>
      <c r="G25" s="185" t="s">
        <v>176</v>
      </c>
      <c r="H25" s="181" t="s">
        <v>49</v>
      </c>
      <c r="I25" s="187">
        <v>1.714</v>
      </c>
      <c r="J25" s="185" t="s">
        <v>177</v>
      </c>
      <c r="K25" s="197">
        <v>15806877.68</v>
      </c>
      <c r="L25" s="190">
        <v>12645502</v>
      </c>
      <c r="M25" s="190">
        <v>3161375.68</v>
      </c>
      <c r="N25" s="192">
        <v>0.8</v>
      </c>
      <c r="O25" s="147">
        <v>0</v>
      </c>
      <c r="P25" s="147">
        <v>0</v>
      </c>
      <c r="Q25" s="195">
        <v>0</v>
      </c>
      <c r="R25" s="195">
        <v>0</v>
      </c>
      <c r="S25" s="195">
        <v>0</v>
      </c>
      <c r="T25" s="198">
        <v>0</v>
      </c>
      <c r="U25" s="199">
        <v>0</v>
      </c>
      <c r="V25" s="195">
        <v>632276</v>
      </c>
      <c r="W25" s="195">
        <v>5690475</v>
      </c>
      <c r="X25" s="195">
        <v>6322751</v>
      </c>
      <c r="Y25" s="258"/>
      <c r="Z25" s="293"/>
      <c r="AA25" s="262" t="b">
        <f t="shared" si="28"/>
        <v>1</v>
      </c>
      <c r="AB25" s="263">
        <f t="shared" si="29"/>
        <v>0.8</v>
      </c>
      <c r="AC25" s="264" t="b">
        <f t="shared" si="30"/>
        <v>1</v>
      </c>
      <c r="AD25" s="264" t="b">
        <f t="shared" si="31"/>
        <v>1</v>
      </c>
    </row>
    <row r="26" spans="1:30" ht="24" x14ac:dyDescent="0.25">
      <c r="A26" s="151">
        <v>24</v>
      </c>
      <c r="B26" s="211" t="s">
        <v>178</v>
      </c>
      <c r="C26" s="177" t="s">
        <v>121</v>
      </c>
      <c r="D26" s="180" t="s">
        <v>179</v>
      </c>
      <c r="E26" s="182">
        <v>2611032</v>
      </c>
      <c r="F26" s="180" t="s">
        <v>487</v>
      </c>
      <c r="G26" s="183" t="s">
        <v>180</v>
      </c>
      <c r="H26" s="180" t="s">
        <v>49</v>
      </c>
      <c r="I26" s="186">
        <v>0.97399999999999998</v>
      </c>
      <c r="J26" s="183" t="s">
        <v>181</v>
      </c>
      <c r="K26" s="196">
        <v>3868114.47</v>
      </c>
      <c r="L26" s="189">
        <v>2707680</v>
      </c>
      <c r="M26" s="189">
        <v>1160434.47</v>
      </c>
      <c r="N26" s="191">
        <v>0.7</v>
      </c>
      <c r="O26" s="193">
        <v>0</v>
      </c>
      <c r="P26" s="193">
        <v>0</v>
      </c>
      <c r="Q26" s="194">
        <v>0</v>
      </c>
      <c r="R26" s="194">
        <v>0</v>
      </c>
      <c r="S26" s="194">
        <v>0</v>
      </c>
      <c r="T26" s="213">
        <v>0</v>
      </c>
      <c r="U26" s="233">
        <v>0</v>
      </c>
      <c r="V26" s="194">
        <v>2707680</v>
      </c>
      <c r="W26" s="194"/>
      <c r="X26" s="32"/>
      <c r="Y26" s="32"/>
      <c r="Z26" s="292"/>
      <c r="AA26" s="262" t="b">
        <f t="shared" si="28"/>
        <v>1</v>
      </c>
      <c r="AB26" s="263">
        <f t="shared" si="29"/>
        <v>0.7</v>
      </c>
      <c r="AC26" s="264" t="b">
        <f t="shared" si="30"/>
        <v>1</v>
      </c>
      <c r="AD26" s="264" t="b">
        <f t="shared" si="31"/>
        <v>1</v>
      </c>
    </row>
    <row r="27" spans="1:30" x14ac:dyDescent="0.25">
      <c r="A27" s="151">
        <v>25</v>
      </c>
      <c r="B27" s="211" t="s">
        <v>339</v>
      </c>
      <c r="C27" s="177" t="s">
        <v>121</v>
      </c>
      <c r="D27" s="180" t="s">
        <v>340</v>
      </c>
      <c r="E27" s="182">
        <v>2605072</v>
      </c>
      <c r="F27" s="180" t="s">
        <v>65</v>
      </c>
      <c r="G27" s="183" t="s">
        <v>341</v>
      </c>
      <c r="H27" s="180" t="s">
        <v>50</v>
      </c>
      <c r="I27" s="186">
        <v>0.96399999999999997</v>
      </c>
      <c r="J27" s="183" t="s">
        <v>167</v>
      </c>
      <c r="K27" s="196">
        <v>1288737.3</v>
      </c>
      <c r="L27" s="189">
        <v>902116</v>
      </c>
      <c r="M27" s="189">
        <v>386621.3</v>
      </c>
      <c r="N27" s="191">
        <v>0.7</v>
      </c>
      <c r="O27" s="193">
        <v>0</v>
      </c>
      <c r="P27" s="193">
        <v>0</v>
      </c>
      <c r="Q27" s="194">
        <v>0</v>
      </c>
      <c r="R27" s="194">
        <v>0</v>
      </c>
      <c r="S27" s="194">
        <v>0</v>
      </c>
      <c r="T27" s="213">
        <v>0</v>
      </c>
      <c r="U27" s="233">
        <v>0</v>
      </c>
      <c r="V27" s="194">
        <v>902116</v>
      </c>
      <c r="W27" s="194"/>
      <c r="X27" s="32"/>
      <c r="Y27" s="32"/>
      <c r="Z27" s="292"/>
      <c r="AA27" s="262" t="b">
        <f t="shared" si="28"/>
        <v>1</v>
      </c>
      <c r="AB27" s="263">
        <f t="shared" si="29"/>
        <v>0.7</v>
      </c>
      <c r="AC27" s="264" t="b">
        <f t="shared" si="30"/>
        <v>1</v>
      </c>
      <c r="AD27" s="264" t="b">
        <f t="shared" si="31"/>
        <v>1</v>
      </c>
    </row>
    <row r="28" spans="1:30" s="261" customFormat="1" x14ac:dyDescent="0.25">
      <c r="A28" s="144">
        <v>26</v>
      </c>
      <c r="B28" s="178" t="s">
        <v>182</v>
      </c>
      <c r="C28" s="142" t="s">
        <v>85</v>
      </c>
      <c r="D28" s="181" t="s">
        <v>61</v>
      </c>
      <c r="E28" s="184">
        <v>2604192</v>
      </c>
      <c r="F28" s="181" t="s">
        <v>60</v>
      </c>
      <c r="G28" s="185" t="s">
        <v>183</v>
      </c>
      <c r="H28" s="181" t="s">
        <v>49</v>
      </c>
      <c r="I28" s="187">
        <v>0.89300000000000002</v>
      </c>
      <c r="J28" s="185" t="s">
        <v>184</v>
      </c>
      <c r="K28" s="197">
        <v>7794968.4400000004</v>
      </c>
      <c r="L28" s="190">
        <v>4676981</v>
      </c>
      <c r="M28" s="190">
        <v>3117987.4400000004</v>
      </c>
      <c r="N28" s="192">
        <v>0.6</v>
      </c>
      <c r="O28" s="147">
        <v>0</v>
      </c>
      <c r="P28" s="147">
        <v>0</v>
      </c>
      <c r="Q28" s="195">
        <v>0</v>
      </c>
      <c r="R28" s="195">
        <v>0</v>
      </c>
      <c r="S28" s="195">
        <v>0</v>
      </c>
      <c r="T28" s="198">
        <v>0</v>
      </c>
      <c r="U28" s="199">
        <v>0</v>
      </c>
      <c r="V28" s="195">
        <v>1200000</v>
      </c>
      <c r="W28" s="195">
        <v>3476981</v>
      </c>
      <c r="X28" s="258"/>
      <c r="Y28" s="258"/>
      <c r="Z28" s="293"/>
      <c r="AA28" s="262" t="b">
        <f t="shared" si="28"/>
        <v>1</v>
      </c>
      <c r="AB28" s="263">
        <f t="shared" si="29"/>
        <v>0.6</v>
      </c>
      <c r="AC28" s="264" t="b">
        <f t="shared" si="30"/>
        <v>1</v>
      </c>
      <c r="AD28" s="264" t="b">
        <f t="shared" si="31"/>
        <v>1</v>
      </c>
    </row>
    <row r="29" spans="1:30" ht="24" customHeight="1" x14ac:dyDescent="0.25">
      <c r="A29" s="151">
        <v>27</v>
      </c>
      <c r="B29" s="211" t="s">
        <v>185</v>
      </c>
      <c r="C29" s="177" t="s">
        <v>121</v>
      </c>
      <c r="D29" s="180" t="s">
        <v>186</v>
      </c>
      <c r="E29" s="182">
        <v>2611011</v>
      </c>
      <c r="F29" s="180" t="s">
        <v>487</v>
      </c>
      <c r="G29" s="183" t="s">
        <v>187</v>
      </c>
      <c r="H29" s="180" t="s">
        <v>49</v>
      </c>
      <c r="I29" s="186">
        <v>0.80900000000000005</v>
      </c>
      <c r="J29" s="183" t="s">
        <v>127</v>
      </c>
      <c r="K29" s="196">
        <v>6056645.5700000003</v>
      </c>
      <c r="L29" s="189">
        <v>4239651</v>
      </c>
      <c r="M29" s="189">
        <v>1816994.57</v>
      </c>
      <c r="N29" s="191">
        <v>0.7</v>
      </c>
      <c r="O29" s="193">
        <v>0</v>
      </c>
      <c r="P29" s="193">
        <v>0</v>
      </c>
      <c r="Q29" s="194">
        <v>0</v>
      </c>
      <c r="R29" s="194">
        <v>0</v>
      </c>
      <c r="S29" s="194">
        <v>0</v>
      </c>
      <c r="T29" s="213">
        <v>0</v>
      </c>
      <c r="U29" s="233">
        <v>0</v>
      </c>
      <c r="V29" s="194">
        <v>4239651</v>
      </c>
      <c r="W29" s="194"/>
      <c r="X29" s="32"/>
      <c r="Y29" s="32"/>
      <c r="Z29" s="292"/>
      <c r="AA29" s="262" t="b">
        <f t="shared" si="28"/>
        <v>1</v>
      </c>
      <c r="AB29" s="263">
        <f t="shared" si="29"/>
        <v>0.7</v>
      </c>
      <c r="AC29" s="264" t="b">
        <f t="shared" si="30"/>
        <v>1</v>
      </c>
      <c r="AD29" s="264" t="b">
        <f t="shared" si="31"/>
        <v>1</v>
      </c>
    </row>
    <row r="30" spans="1:30" ht="15" customHeight="1" x14ac:dyDescent="0.25">
      <c r="A30" s="151">
        <v>28</v>
      </c>
      <c r="B30" s="211" t="s">
        <v>188</v>
      </c>
      <c r="C30" s="177" t="s">
        <v>121</v>
      </c>
      <c r="D30" s="180" t="s">
        <v>171</v>
      </c>
      <c r="E30" s="182">
        <v>2612062</v>
      </c>
      <c r="F30" s="180" t="s">
        <v>488</v>
      </c>
      <c r="G30" s="183" t="s">
        <v>189</v>
      </c>
      <c r="H30" s="180" t="s">
        <v>50</v>
      </c>
      <c r="I30" s="186">
        <v>0.78</v>
      </c>
      <c r="J30" s="183" t="s">
        <v>167</v>
      </c>
      <c r="K30" s="196">
        <v>1331236</v>
      </c>
      <c r="L30" s="189">
        <v>798741</v>
      </c>
      <c r="M30" s="189">
        <v>532495</v>
      </c>
      <c r="N30" s="191">
        <v>0.6</v>
      </c>
      <c r="O30" s="193">
        <v>0</v>
      </c>
      <c r="P30" s="193">
        <v>0</v>
      </c>
      <c r="Q30" s="194">
        <v>0</v>
      </c>
      <c r="R30" s="194">
        <v>0</v>
      </c>
      <c r="S30" s="194">
        <v>0</v>
      </c>
      <c r="T30" s="213">
        <v>0</v>
      </c>
      <c r="U30" s="233">
        <v>0</v>
      </c>
      <c r="V30" s="194">
        <v>798741</v>
      </c>
      <c r="W30" s="194"/>
      <c r="X30" s="32"/>
      <c r="Y30" s="32"/>
      <c r="Z30" s="292"/>
      <c r="AA30" s="262" t="b">
        <f t="shared" si="28"/>
        <v>1</v>
      </c>
      <c r="AB30" s="263">
        <f t="shared" si="29"/>
        <v>0.6</v>
      </c>
      <c r="AC30" s="264" t="b">
        <f t="shared" si="30"/>
        <v>1</v>
      </c>
      <c r="AD30" s="264" t="b">
        <f t="shared" si="31"/>
        <v>1</v>
      </c>
    </row>
    <row r="31" spans="1:30" ht="36" customHeight="1" x14ac:dyDescent="0.25">
      <c r="A31" s="151">
        <v>29</v>
      </c>
      <c r="B31" s="211" t="s">
        <v>190</v>
      </c>
      <c r="C31" s="177" t="s">
        <v>121</v>
      </c>
      <c r="D31" s="180" t="s">
        <v>191</v>
      </c>
      <c r="E31" s="182">
        <v>2603033</v>
      </c>
      <c r="F31" s="180" t="s">
        <v>489</v>
      </c>
      <c r="G31" s="183" t="s">
        <v>192</v>
      </c>
      <c r="H31" s="180" t="s">
        <v>50</v>
      </c>
      <c r="I31" s="186">
        <v>0.48499999999999999</v>
      </c>
      <c r="J31" s="183" t="s">
        <v>124</v>
      </c>
      <c r="K31" s="196">
        <v>3825208.72</v>
      </c>
      <c r="L31" s="189">
        <v>3060166</v>
      </c>
      <c r="M31" s="189">
        <v>765042.72</v>
      </c>
      <c r="N31" s="191">
        <v>0.8</v>
      </c>
      <c r="O31" s="193">
        <v>0</v>
      </c>
      <c r="P31" s="193">
        <v>0</v>
      </c>
      <c r="Q31" s="194">
        <v>0</v>
      </c>
      <c r="R31" s="194">
        <v>0</v>
      </c>
      <c r="S31" s="194">
        <v>0</v>
      </c>
      <c r="T31" s="213">
        <v>0</v>
      </c>
      <c r="U31" s="233">
        <v>0</v>
      </c>
      <c r="V31" s="194">
        <v>3060166</v>
      </c>
      <c r="W31" s="194"/>
      <c r="X31" s="32"/>
      <c r="Y31" s="32"/>
      <c r="Z31" s="292"/>
      <c r="AA31" s="262" t="b">
        <f t="shared" si="28"/>
        <v>1</v>
      </c>
      <c r="AB31" s="263">
        <f t="shared" si="29"/>
        <v>0.8</v>
      </c>
      <c r="AC31" s="264" t="b">
        <f t="shared" si="30"/>
        <v>1</v>
      </c>
      <c r="AD31" s="264" t="b">
        <f t="shared" si="31"/>
        <v>1</v>
      </c>
    </row>
    <row r="32" spans="1:30" s="261" customFormat="1" x14ac:dyDescent="0.25">
      <c r="A32" s="144">
        <v>30</v>
      </c>
      <c r="B32" s="178" t="s">
        <v>193</v>
      </c>
      <c r="C32" s="142" t="s">
        <v>85</v>
      </c>
      <c r="D32" s="181" t="s">
        <v>66</v>
      </c>
      <c r="E32" s="184">
        <v>2608043</v>
      </c>
      <c r="F32" s="181" t="s">
        <v>67</v>
      </c>
      <c r="G32" s="185" t="s">
        <v>194</v>
      </c>
      <c r="H32" s="181" t="s">
        <v>49</v>
      </c>
      <c r="I32" s="187">
        <v>0.47099999999999997</v>
      </c>
      <c r="J32" s="185" t="s">
        <v>195</v>
      </c>
      <c r="K32" s="197">
        <v>3693566.04</v>
      </c>
      <c r="L32" s="190">
        <v>2954852</v>
      </c>
      <c r="M32" s="190">
        <v>738714.04</v>
      </c>
      <c r="N32" s="192">
        <v>0.8</v>
      </c>
      <c r="O32" s="147">
        <v>0</v>
      </c>
      <c r="P32" s="147">
        <v>0</v>
      </c>
      <c r="Q32" s="195">
        <v>0</v>
      </c>
      <c r="R32" s="195">
        <v>0</v>
      </c>
      <c r="S32" s="195">
        <v>0</v>
      </c>
      <c r="T32" s="198">
        <v>0</v>
      </c>
      <c r="U32" s="199">
        <v>0</v>
      </c>
      <c r="V32" s="195">
        <v>2285714</v>
      </c>
      <c r="W32" s="195">
        <v>669138</v>
      </c>
      <c r="X32" s="195"/>
      <c r="Y32" s="258"/>
      <c r="Z32" s="293"/>
      <c r="AA32" s="262" t="b">
        <f t="shared" si="28"/>
        <v>1</v>
      </c>
      <c r="AB32" s="263">
        <f t="shared" si="29"/>
        <v>0.8</v>
      </c>
      <c r="AC32" s="264" t="b">
        <f t="shared" si="30"/>
        <v>1</v>
      </c>
      <c r="AD32" s="264" t="b">
        <f t="shared" si="31"/>
        <v>1</v>
      </c>
    </row>
    <row r="33" spans="1:30" ht="24" x14ac:dyDescent="0.25">
      <c r="A33" s="151">
        <v>31</v>
      </c>
      <c r="B33" s="211" t="s">
        <v>443</v>
      </c>
      <c r="C33" s="177" t="s">
        <v>121</v>
      </c>
      <c r="D33" s="180" t="s">
        <v>444</v>
      </c>
      <c r="E33" s="182">
        <v>2612083</v>
      </c>
      <c r="F33" s="180" t="s">
        <v>488</v>
      </c>
      <c r="G33" s="183" t="s">
        <v>445</v>
      </c>
      <c r="H33" s="180" t="s">
        <v>130</v>
      </c>
      <c r="I33" s="186">
        <v>0.40400000000000003</v>
      </c>
      <c r="J33" s="183" t="s">
        <v>157</v>
      </c>
      <c r="K33" s="196">
        <v>415938.62</v>
      </c>
      <c r="L33" s="189">
        <v>291157</v>
      </c>
      <c r="M33" s="189">
        <v>124781.62</v>
      </c>
      <c r="N33" s="191">
        <v>0.7</v>
      </c>
      <c r="O33" s="193">
        <v>0</v>
      </c>
      <c r="P33" s="193">
        <v>0</v>
      </c>
      <c r="Q33" s="194">
        <v>0</v>
      </c>
      <c r="R33" s="194">
        <v>0</v>
      </c>
      <c r="S33" s="194">
        <v>0</v>
      </c>
      <c r="T33" s="213">
        <v>0</v>
      </c>
      <c r="U33" s="233">
        <v>0</v>
      </c>
      <c r="V33" s="194">
        <v>291157</v>
      </c>
      <c r="W33" s="194"/>
      <c r="X33" s="32"/>
      <c r="Y33" s="32"/>
      <c r="Z33" s="292"/>
      <c r="AA33" s="262" t="b">
        <f t="shared" si="28"/>
        <v>1</v>
      </c>
      <c r="AB33" s="263">
        <f t="shared" si="29"/>
        <v>0.7</v>
      </c>
      <c r="AC33" s="264" t="b">
        <f t="shared" si="30"/>
        <v>1</v>
      </c>
      <c r="AD33" s="264" t="b">
        <f t="shared" si="31"/>
        <v>1</v>
      </c>
    </row>
    <row r="34" spans="1:30" x14ac:dyDescent="0.25">
      <c r="A34" s="151">
        <v>32</v>
      </c>
      <c r="B34" s="211" t="s">
        <v>305</v>
      </c>
      <c r="C34" s="177" t="s">
        <v>121</v>
      </c>
      <c r="D34" s="180" t="s">
        <v>306</v>
      </c>
      <c r="E34" s="182">
        <v>2604123</v>
      </c>
      <c r="F34" s="180" t="s">
        <v>60</v>
      </c>
      <c r="G34" s="183" t="s">
        <v>307</v>
      </c>
      <c r="H34" s="180" t="s">
        <v>50</v>
      </c>
      <c r="I34" s="186">
        <v>0.39400000000000002</v>
      </c>
      <c r="J34" s="183" t="s">
        <v>167</v>
      </c>
      <c r="K34" s="196">
        <v>1641702.45</v>
      </c>
      <c r="L34" s="189">
        <v>985021</v>
      </c>
      <c r="M34" s="189">
        <v>656681.44999999995</v>
      </c>
      <c r="N34" s="191">
        <v>0.6</v>
      </c>
      <c r="O34" s="193">
        <v>0</v>
      </c>
      <c r="P34" s="193">
        <v>0</v>
      </c>
      <c r="Q34" s="194">
        <v>0</v>
      </c>
      <c r="R34" s="194">
        <v>0</v>
      </c>
      <c r="S34" s="194">
        <v>0</v>
      </c>
      <c r="T34" s="213">
        <v>0</v>
      </c>
      <c r="U34" s="233">
        <v>0</v>
      </c>
      <c r="V34" s="194">
        <v>985021</v>
      </c>
      <c r="W34" s="194"/>
      <c r="X34" s="32"/>
      <c r="Y34" s="32"/>
      <c r="Z34" s="292"/>
      <c r="AA34" s="262" t="b">
        <f t="shared" si="28"/>
        <v>1</v>
      </c>
      <c r="AB34" s="263">
        <f t="shared" si="29"/>
        <v>0.6</v>
      </c>
      <c r="AC34" s="264" t="b">
        <f t="shared" si="30"/>
        <v>1</v>
      </c>
      <c r="AD34" s="264" t="b">
        <f t="shared" si="31"/>
        <v>1</v>
      </c>
    </row>
    <row r="35" spans="1:30" ht="24" x14ac:dyDescent="0.25">
      <c r="A35" s="151">
        <v>33</v>
      </c>
      <c r="B35" s="211" t="s">
        <v>455</v>
      </c>
      <c r="C35" s="177" t="s">
        <v>121</v>
      </c>
      <c r="D35" s="180" t="s">
        <v>456</v>
      </c>
      <c r="E35" s="182">
        <v>2605023</v>
      </c>
      <c r="F35" s="180" t="s">
        <v>65</v>
      </c>
      <c r="G35" s="183" t="s">
        <v>457</v>
      </c>
      <c r="H35" s="180" t="s">
        <v>50</v>
      </c>
      <c r="I35" s="186">
        <v>0.25</v>
      </c>
      <c r="J35" s="183" t="s">
        <v>458</v>
      </c>
      <c r="K35" s="196">
        <v>307873.45</v>
      </c>
      <c r="L35" s="189">
        <v>246298</v>
      </c>
      <c r="M35" s="189">
        <v>61575.45</v>
      </c>
      <c r="N35" s="191">
        <v>0.8</v>
      </c>
      <c r="O35" s="193">
        <v>0</v>
      </c>
      <c r="P35" s="193">
        <v>0</v>
      </c>
      <c r="Q35" s="194">
        <v>0</v>
      </c>
      <c r="R35" s="194">
        <v>0</v>
      </c>
      <c r="S35" s="194">
        <v>0</v>
      </c>
      <c r="T35" s="213">
        <v>0</v>
      </c>
      <c r="U35" s="233">
        <v>0</v>
      </c>
      <c r="V35" s="194">
        <v>246298</v>
      </c>
      <c r="W35" s="194"/>
      <c r="X35" s="32"/>
      <c r="Y35" s="32"/>
      <c r="Z35" s="292"/>
      <c r="AA35" s="262" t="b">
        <f t="shared" si="28"/>
        <v>1</v>
      </c>
      <c r="AB35" s="263">
        <f t="shared" si="29"/>
        <v>0.8</v>
      </c>
      <c r="AC35" s="264" t="b">
        <f t="shared" si="30"/>
        <v>1</v>
      </c>
      <c r="AD35" s="264" t="b">
        <f t="shared" si="31"/>
        <v>1</v>
      </c>
    </row>
    <row r="36" spans="1:30" s="261" customFormat="1" ht="24" x14ac:dyDescent="0.25">
      <c r="A36" s="144">
        <v>34</v>
      </c>
      <c r="B36" s="178" t="s">
        <v>428</v>
      </c>
      <c r="C36" s="142" t="s">
        <v>85</v>
      </c>
      <c r="D36" s="181" t="s">
        <v>429</v>
      </c>
      <c r="E36" s="184">
        <v>2604062</v>
      </c>
      <c r="F36" s="181" t="s">
        <v>60</v>
      </c>
      <c r="G36" s="185" t="s">
        <v>430</v>
      </c>
      <c r="H36" s="181" t="s">
        <v>49</v>
      </c>
      <c r="I36" s="187">
        <v>0.998</v>
      </c>
      <c r="J36" s="185" t="s">
        <v>431</v>
      </c>
      <c r="K36" s="197">
        <v>9009027.4100000001</v>
      </c>
      <c r="L36" s="190">
        <v>6306319</v>
      </c>
      <c r="M36" s="190">
        <v>2702708.41</v>
      </c>
      <c r="N36" s="192">
        <v>0.7</v>
      </c>
      <c r="O36" s="147">
        <v>0</v>
      </c>
      <c r="P36" s="147">
        <v>0</v>
      </c>
      <c r="Q36" s="195">
        <v>0</v>
      </c>
      <c r="R36" s="195">
        <v>0</v>
      </c>
      <c r="S36" s="195">
        <v>0</v>
      </c>
      <c r="T36" s="198">
        <v>0</v>
      </c>
      <c r="U36" s="199">
        <v>0</v>
      </c>
      <c r="V36" s="195">
        <v>2800000</v>
      </c>
      <c r="W36" s="195">
        <v>3506319</v>
      </c>
      <c r="X36" s="258"/>
      <c r="Y36" s="258"/>
      <c r="Z36" s="293"/>
      <c r="AA36" s="262" t="b">
        <f t="shared" si="28"/>
        <v>1</v>
      </c>
      <c r="AB36" s="263">
        <f t="shared" si="29"/>
        <v>0.7</v>
      </c>
      <c r="AC36" s="264" t="b">
        <f t="shared" si="30"/>
        <v>1</v>
      </c>
      <c r="AD36" s="264" t="b">
        <f t="shared" si="31"/>
        <v>1</v>
      </c>
    </row>
    <row r="37" spans="1:30" ht="24" x14ac:dyDescent="0.25">
      <c r="A37" s="151">
        <v>35</v>
      </c>
      <c r="B37" s="211" t="s">
        <v>397</v>
      </c>
      <c r="C37" s="177" t="s">
        <v>121</v>
      </c>
      <c r="D37" s="180" t="s">
        <v>323</v>
      </c>
      <c r="E37" s="182">
        <v>2612043</v>
      </c>
      <c r="F37" s="180" t="s">
        <v>488</v>
      </c>
      <c r="G37" s="183" t="s">
        <v>398</v>
      </c>
      <c r="H37" s="180" t="s">
        <v>49</v>
      </c>
      <c r="I37" s="186">
        <v>0.91900000000000004</v>
      </c>
      <c r="J37" s="183" t="s">
        <v>325</v>
      </c>
      <c r="K37" s="196">
        <v>1742291.66</v>
      </c>
      <c r="L37" s="189">
        <v>1219604</v>
      </c>
      <c r="M37" s="189">
        <v>522687.66</v>
      </c>
      <c r="N37" s="191">
        <v>0.7</v>
      </c>
      <c r="O37" s="193">
        <v>0</v>
      </c>
      <c r="P37" s="193">
        <v>0</v>
      </c>
      <c r="Q37" s="194">
        <v>0</v>
      </c>
      <c r="R37" s="194">
        <v>0</v>
      </c>
      <c r="S37" s="194">
        <v>0</v>
      </c>
      <c r="T37" s="213">
        <v>0</v>
      </c>
      <c r="U37" s="233">
        <v>0</v>
      </c>
      <c r="V37" s="194">
        <v>1219604</v>
      </c>
      <c r="W37" s="194"/>
      <c r="X37" s="32"/>
      <c r="Y37" s="32"/>
      <c r="Z37" s="292"/>
      <c r="AA37" s="1" t="b">
        <f t="shared" si="28"/>
        <v>1</v>
      </c>
      <c r="AB37" s="23">
        <f t="shared" si="29"/>
        <v>0.7</v>
      </c>
      <c r="AC37" s="24" t="b">
        <f t="shared" si="30"/>
        <v>1</v>
      </c>
      <c r="AD37" s="24" t="b">
        <f t="shared" si="31"/>
        <v>1</v>
      </c>
    </row>
    <row r="38" spans="1:30" ht="48" x14ac:dyDescent="0.25">
      <c r="A38" s="151">
        <v>36</v>
      </c>
      <c r="B38" s="211" t="s">
        <v>197</v>
      </c>
      <c r="C38" s="177" t="s">
        <v>121</v>
      </c>
      <c r="D38" s="180" t="s">
        <v>198</v>
      </c>
      <c r="E38" s="182">
        <v>2601052</v>
      </c>
      <c r="F38" s="180" t="s">
        <v>63</v>
      </c>
      <c r="G38" s="183" t="s">
        <v>199</v>
      </c>
      <c r="H38" s="180" t="s">
        <v>130</v>
      </c>
      <c r="I38" s="186">
        <v>0.85</v>
      </c>
      <c r="J38" s="183" t="s">
        <v>200</v>
      </c>
      <c r="K38" s="196">
        <v>1022062.29</v>
      </c>
      <c r="L38" s="189">
        <v>715443</v>
      </c>
      <c r="M38" s="189">
        <v>306619.28999999998</v>
      </c>
      <c r="N38" s="191">
        <v>0.7</v>
      </c>
      <c r="O38" s="193">
        <v>0</v>
      </c>
      <c r="P38" s="193">
        <v>0</v>
      </c>
      <c r="Q38" s="194">
        <v>0</v>
      </c>
      <c r="R38" s="194">
        <v>0</v>
      </c>
      <c r="S38" s="194">
        <v>0</v>
      </c>
      <c r="T38" s="213">
        <v>0</v>
      </c>
      <c r="U38" s="233">
        <v>0</v>
      </c>
      <c r="V38" s="194">
        <v>715443</v>
      </c>
      <c r="W38" s="194"/>
      <c r="X38" s="32"/>
      <c r="Y38" s="32"/>
      <c r="Z38" s="292"/>
      <c r="AA38" s="1" t="b">
        <f t="shared" si="28"/>
        <v>1</v>
      </c>
      <c r="AB38" s="23">
        <f t="shared" si="29"/>
        <v>0.7</v>
      </c>
      <c r="AC38" s="24" t="b">
        <f t="shared" si="30"/>
        <v>1</v>
      </c>
      <c r="AD38" s="24" t="b">
        <f t="shared" si="31"/>
        <v>1</v>
      </c>
    </row>
    <row r="39" spans="1:30" ht="24" x14ac:dyDescent="0.25">
      <c r="A39" s="151">
        <v>37</v>
      </c>
      <c r="B39" s="211" t="s">
        <v>435</v>
      </c>
      <c r="C39" s="177" t="s">
        <v>121</v>
      </c>
      <c r="D39" s="180" t="s">
        <v>436</v>
      </c>
      <c r="E39" s="182">
        <v>2609072</v>
      </c>
      <c r="F39" s="180" t="s">
        <v>491</v>
      </c>
      <c r="G39" s="183" t="s">
        <v>437</v>
      </c>
      <c r="H39" s="180" t="s">
        <v>50</v>
      </c>
      <c r="I39" s="186">
        <v>0.83699999999999997</v>
      </c>
      <c r="J39" s="183" t="s">
        <v>352</v>
      </c>
      <c r="K39" s="196">
        <v>874746.65</v>
      </c>
      <c r="L39" s="189">
        <v>612322</v>
      </c>
      <c r="M39" s="189">
        <v>262424.65000000002</v>
      </c>
      <c r="N39" s="191">
        <v>0.7</v>
      </c>
      <c r="O39" s="193">
        <v>0</v>
      </c>
      <c r="P39" s="193">
        <v>0</v>
      </c>
      <c r="Q39" s="194">
        <v>0</v>
      </c>
      <c r="R39" s="194">
        <v>0</v>
      </c>
      <c r="S39" s="194">
        <v>0</v>
      </c>
      <c r="T39" s="213">
        <v>0</v>
      </c>
      <c r="U39" s="233">
        <v>0</v>
      </c>
      <c r="V39" s="194">
        <v>612322</v>
      </c>
      <c r="W39" s="194"/>
      <c r="X39" s="32"/>
      <c r="Y39" s="32"/>
      <c r="Z39" s="292"/>
      <c r="AA39" s="1" t="b">
        <f t="shared" si="28"/>
        <v>1</v>
      </c>
      <c r="AB39" s="23">
        <f t="shared" si="29"/>
        <v>0.7</v>
      </c>
      <c r="AC39" s="24" t="b">
        <f t="shared" si="30"/>
        <v>1</v>
      </c>
      <c r="AD39" s="24" t="b">
        <f t="shared" si="31"/>
        <v>1</v>
      </c>
    </row>
    <row r="40" spans="1:30" ht="24" x14ac:dyDescent="0.25">
      <c r="A40" s="151">
        <v>38</v>
      </c>
      <c r="B40" s="211" t="s">
        <v>201</v>
      </c>
      <c r="C40" s="177" t="s">
        <v>121</v>
      </c>
      <c r="D40" s="180" t="s">
        <v>202</v>
      </c>
      <c r="E40" s="182">
        <v>2602072</v>
      </c>
      <c r="F40" s="180" t="s">
        <v>490</v>
      </c>
      <c r="G40" s="183" t="s">
        <v>203</v>
      </c>
      <c r="H40" s="180" t="s">
        <v>50</v>
      </c>
      <c r="I40" s="186">
        <v>0.73799999999999999</v>
      </c>
      <c r="J40" s="183" t="s">
        <v>204</v>
      </c>
      <c r="K40" s="196">
        <v>878915.25</v>
      </c>
      <c r="L40" s="189">
        <v>615240</v>
      </c>
      <c r="M40" s="189">
        <v>263675.25</v>
      </c>
      <c r="N40" s="191">
        <v>0.7</v>
      </c>
      <c r="O40" s="193">
        <v>0</v>
      </c>
      <c r="P40" s="193">
        <v>0</v>
      </c>
      <c r="Q40" s="194">
        <v>0</v>
      </c>
      <c r="R40" s="194">
        <v>0</v>
      </c>
      <c r="S40" s="194">
        <v>0</v>
      </c>
      <c r="T40" s="213">
        <v>0</v>
      </c>
      <c r="U40" s="233">
        <v>0</v>
      </c>
      <c r="V40" s="194">
        <v>615240</v>
      </c>
      <c r="W40" s="194"/>
      <c r="X40" s="32"/>
      <c r="Y40" s="32"/>
      <c r="Z40" s="292"/>
      <c r="AA40" s="1" t="b">
        <f t="shared" si="28"/>
        <v>1</v>
      </c>
      <c r="AB40" s="23">
        <f t="shared" si="29"/>
        <v>0.7</v>
      </c>
      <c r="AC40" s="24" t="b">
        <f t="shared" si="30"/>
        <v>1</v>
      </c>
      <c r="AD40" s="24" t="b">
        <f t="shared" si="31"/>
        <v>1</v>
      </c>
    </row>
    <row r="41" spans="1:30" x14ac:dyDescent="0.25">
      <c r="A41" s="151">
        <v>39</v>
      </c>
      <c r="B41" s="211" t="s">
        <v>349</v>
      </c>
      <c r="C41" s="177" t="s">
        <v>121</v>
      </c>
      <c r="D41" s="180" t="s">
        <v>350</v>
      </c>
      <c r="E41" s="182">
        <v>2605083</v>
      </c>
      <c r="F41" s="180" t="s">
        <v>65</v>
      </c>
      <c r="G41" s="183" t="s">
        <v>351</v>
      </c>
      <c r="H41" s="180" t="s">
        <v>50</v>
      </c>
      <c r="I41" s="186">
        <v>0.69799999999999995</v>
      </c>
      <c r="J41" s="183" t="s">
        <v>352</v>
      </c>
      <c r="K41" s="196">
        <v>1845212.76</v>
      </c>
      <c r="L41" s="189">
        <v>1476170</v>
      </c>
      <c r="M41" s="189">
        <v>369042.76</v>
      </c>
      <c r="N41" s="191">
        <v>0.8</v>
      </c>
      <c r="O41" s="193">
        <v>0</v>
      </c>
      <c r="P41" s="193">
        <v>0</v>
      </c>
      <c r="Q41" s="194">
        <v>0</v>
      </c>
      <c r="R41" s="194">
        <v>0</v>
      </c>
      <c r="S41" s="194">
        <v>0</v>
      </c>
      <c r="T41" s="213">
        <v>0</v>
      </c>
      <c r="U41" s="233">
        <v>0</v>
      </c>
      <c r="V41" s="194">
        <v>1476170</v>
      </c>
      <c r="W41" s="194"/>
      <c r="X41" s="32"/>
      <c r="Y41" s="32"/>
      <c r="Z41" s="292"/>
      <c r="AA41" s="1" t="b">
        <f t="shared" si="28"/>
        <v>1</v>
      </c>
      <c r="AB41" s="23">
        <f t="shared" si="29"/>
        <v>0.8</v>
      </c>
      <c r="AC41" s="24" t="b">
        <f t="shared" si="30"/>
        <v>1</v>
      </c>
      <c r="AD41" s="24" t="b">
        <f t="shared" si="31"/>
        <v>1</v>
      </c>
    </row>
    <row r="42" spans="1:30" ht="24" x14ac:dyDescent="0.25">
      <c r="A42" s="151">
        <v>40</v>
      </c>
      <c r="B42" s="211" t="s">
        <v>205</v>
      </c>
      <c r="C42" s="177" t="s">
        <v>121</v>
      </c>
      <c r="D42" s="180" t="s">
        <v>202</v>
      </c>
      <c r="E42" s="182">
        <v>2602072</v>
      </c>
      <c r="F42" s="180" t="s">
        <v>490</v>
      </c>
      <c r="G42" s="183" t="s">
        <v>206</v>
      </c>
      <c r="H42" s="180" t="s">
        <v>50</v>
      </c>
      <c r="I42" s="186">
        <v>0.64900000000000002</v>
      </c>
      <c r="J42" s="183" t="s">
        <v>204</v>
      </c>
      <c r="K42" s="196">
        <v>1246588.43</v>
      </c>
      <c r="L42" s="189">
        <v>872611</v>
      </c>
      <c r="M42" s="189">
        <v>373977.43</v>
      </c>
      <c r="N42" s="191">
        <v>0.7</v>
      </c>
      <c r="O42" s="193">
        <v>0</v>
      </c>
      <c r="P42" s="193">
        <v>0</v>
      </c>
      <c r="Q42" s="194">
        <v>0</v>
      </c>
      <c r="R42" s="194">
        <v>0</v>
      </c>
      <c r="S42" s="194">
        <v>0</v>
      </c>
      <c r="T42" s="213">
        <v>0</v>
      </c>
      <c r="U42" s="233">
        <v>0</v>
      </c>
      <c r="V42" s="194">
        <v>872611</v>
      </c>
      <c r="W42" s="194"/>
      <c r="X42" s="32"/>
      <c r="Y42" s="32"/>
      <c r="Z42" s="292"/>
      <c r="AA42" s="1" t="b">
        <f t="shared" si="28"/>
        <v>1</v>
      </c>
      <c r="AB42" s="23">
        <f t="shared" si="29"/>
        <v>0.7</v>
      </c>
      <c r="AC42" s="24" t="b">
        <f t="shared" si="30"/>
        <v>1</v>
      </c>
      <c r="AD42" s="24" t="b">
        <f t="shared" si="31"/>
        <v>1</v>
      </c>
    </row>
    <row r="43" spans="1:30" ht="24" x14ac:dyDescent="0.25">
      <c r="A43" s="151">
        <v>41</v>
      </c>
      <c r="B43" s="211" t="s">
        <v>207</v>
      </c>
      <c r="C43" s="177" t="s">
        <v>121</v>
      </c>
      <c r="D43" s="180" t="s">
        <v>152</v>
      </c>
      <c r="E43" s="182">
        <v>2604133</v>
      </c>
      <c r="F43" s="180" t="s">
        <v>60</v>
      </c>
      <c r="G43" s="183" t="s">
        <v>208</v>
      </c>
      <c r="H43" s="180" t="s">
        <v>49</v>
      </c>
      <c r="I43" s="186">
        <v>0.627</v>
      </c>
      <c r="J43" s="183" t="s">
        <v>127</v>
      </c>
      <c r="K43" s="196">
        <v>6025134.2999999998</v>
      </c>
      <c r="L43" s="189">
        <v>4820107</v>
      </c>
      <c r="M43" s="189">
        <v>1205027.3</v>
      </c>
      <c r="N43" s="191">
        <v>0.8</v>
      </c>
      <c r="O43" s="193">
        <v>0</v>
      </c>
      <c r="P43" s="193">
        <v>0</v>
      </c>
      <c r="Q43" s="194">
        <v>0</v>
      </c>
      <c r="R43" s="194">
        <v>0</v>
      </c>
      <c r="S43" s="194">
        <v>0</v>
      </c>
      <c r="T43" s="213">
        <v>0</v>
      </c>
      <c r="U43" s="233">
        <v>0</v>
      </c>
      <c r="V43" s="194">
        <v>4820107</v>
      </c>
      <c r="W43" s="194"/>
      <c r="X43" s="32"/>
      <c r="Y43" s="32"/>
      <c r="Z43" s="292"/>
      <c r="AA43" s="1" t="b">
        <f t="shared" si="28"/>
        <v>1</v>
      </c>
      <c r="AB43" s="23">
        <f t="shared" si="29"/>
        <v>0.8</v>
      </c>
      <c r="AC43" s="24" t="b">
        <f t="shared" si="30"/>
        <v>1</v>
      </c>
      <c r="AD43" s="24" t="b">
        <f t="shared" si="31"/>
        <v>1</v>
      </c>
    </row>
    <row r="44" spans="1:30" x14ac:dyDescent="0.25">
      <c r="A44" s="151">
        <v>42</v>
      </c>
      <c r="B44" s="211" t="s">
        <v>403</v>
      </c>
      <c r="C44" s="177" t="s">
        <v>121</v>
      </c>
      <c r="D44" s="180" t="s">
        <v>340</v>
      </c>
      <c r="E44" s="182">
        <v>2605072</v>
      </c>
      <c r="F44" s="180" t="s">
        <v>65</v>
      </c>
      <c r="G44" s="183" t="s">
        <v>404</v>
      </c>
      <c r="H44" s="180" t="s">
        <v>50</v>
      </c>
      <c r="I44" s="186">
        <v>0.55600000000000005</v>
      </c>
      <c r="J44" s="183" t="s">
        <v>167</v>
      </c>
      <c r="K44" s="196">
        <v>406160.32</v>
      </c>
      <c r="L44" s="189">
        <v>284312</v>
      </c>
      <c r="M44" s="189">
        <v>121848.32000000001</v>
      </c>
      <c r="N44" s="191">
        <v>0.7</v>
      </c>
      <c r="O44" s="193">
        <v>0</v>
      </c>
      <c r="P44" s="193">
        <v>0</v>
      </c>
      <c r="Q44" s="194">
        <v>0</v>
      </c>
      <c r="R44" s="194">
        <v>0</v>
      </c>
      <c r="S44" s="194">
        <v>0</v>
      </c>
      <c r="T44" s="213">
        <v>0</v>
      </c>
      <c r="U44" s="233">
        <v>0</v>
      </c>
      <c r="V44" s="194">
        <v>284312</v>
      </c>
      <c r="W44" s="194"/>
      <c r="X44" s="32"/>
      <c r="Y44" s="32"/>
      <c r="Z44" s="292"/>
      <c r="AA44" s="1" t="b">
        <f t="shared" si="28"/>
        <v>1</v>
      </c>
      <c r="AB44" s="23">
        <f t="shared" si="29"/>
        <v>0.7</v>
      </c>
      <c r="AC44" s="24" t="b">
        <f t="shared" si="30"/>
        <v>1</v>
      </c>
      <c r="AD44" s="24" t="b">
        <f t="shared" si="31"/>
        <v>1</v>
      </c>
    </row>
    <row r="45" spans="1:30" ht="24" x14ac:dyDescent="0.25">
      <c r="A45" s="151">
        <v>43</v>
      </c>
      <c r="B45" s="211" t="s">
        <v>209</v>
      </c>
      <c r="C45" s="177" t="s">
        <v>121</v>
      </c>
      <c r="D45" s="180" t="s">
        <v>210</v>
      </c>
      <c r="E45" s="182">
        <v>2607032</v>
      </c>
      <c r="F45" s="180" t="s">
        <v>486</v>
      </c>
      <c r="G45" s="183" t="s">
        <v>211</v>
      </c>
      <c r="H45" s="180" t="s">
        <v>50</v>
      </c>
      <c r="I45" s="186">
        <v>0.48799999999999999</v>
      </c>
      <c r="J45" s="183" t="s">
        <v>212</v>
      </c>
      <c r="K45" s="196">
        <v>1243323.6299999999</v>
      </c>
      <c r="L45" s="189">
        <v>870326</v>
      </c>
      <c r="M45" s="189">
        <v>372997.63</v>
      </c>
      <c r="N45" s="191">
        <v>0.7</v>
      </c>
      <c r="O45" s="193">
        <v>0</v>
      </c>
      <c r="P45" s="193">
        <v>0</v>
      </c>
      <c r="Q45" s="194">
        <v>0</v>
      </c>
      <c r="R45" s="194">
        <v>0</v>
      </c>
      <c r="S45" s="194">
        <v>0</v>
      </c>
      <c r="T45" s="213">
        <v>0</v>
      </c>
      <c r="U45" s="233">
        <v>0</v>
      </c>
      <c r="V45" s="194">
        <v>870326</v>
      </c>
      <c r="W45" s="194"/>
      <c r="X45" s="32"/>
      <c r="Y45" s="32"/>
      <c r="Z45" s="292"/>
      <c r="AA45" s="1" t="b">
        <f t="shared" si="28"/>
        <v>1</v>
      </c>
      <c r="AB45" s="23">
        <f t="shared" si="29"/>
        <v>0.7</v>
      </c>
      <c r="AC45" s="24" t="b">
        <f t="shared" si="30"/>
        <v>1</v>
      </c>
      <c r="AD45" s="24" t="b">
        <f t="shared" si="31"/>
        <v>1</v>
      </c>
    </row>
    <row r="46" spans="1:30" ht="24" x14ac:dyDescent="0.25">
      <c r="A46" s="151">
        <v>44</v>
      </c>
      <c r="B46" s="211" t="s">
        <v>213</v>
      </c>
      <c r="C46" s="177" t="s">
        <v>121</v>
      </c>
      <c r="D46" s="180" t="s">
        <v>148</v>
      </c>
      <c r="E46" s="182">
        <v>2607011</v>
      </c>
      <c r="F46" s="180" t="s">
        <v>486</v>
      </c>
      <c r="G46" s="183" t="s">
        <v>214</v>
      </c>
      <c r="H46" s="180" t="s">
        <v>50</v>
      </c>
      <c r="I46" s="186">
        <v>0.47099999999999997</v>
      </c>
      <c r="J46" s="183" t="s">
        <v>150</v>
      </c>
      <c r="K46" s="196">
        <v>5447861.9000000004</v>
      </c>
      <c r="L46" s="189">
        <v>3813503</v>
      </c>
      <c r="M46" s="189">
        <v>1634358.9</v>
      </c>
      <c r="N46" s="191">
        <v>0.7</v>
      </c>
      <c r="O46" s="193">
        <v>0</v>
      </c>
      <c r="P46" s="193">
        <v>0</v>
      </c>
      <c r="Q46" s="194">
        <v>0</v>
      </c>
      <c r="R46" s="194">
        <v>0</v>
      </c>
      <c r="S46" s="194">
        <v>0</v>
      </c>
      <c r="T46" s="213">
        <v>0</v>
      </c>
      <c r="U46" s="233">
        <v>0</v>
      </c>
      <c r="V46" s="194">
        <v>3813503</v>
      </c>
      <c r="W46" s="194"/>
      <c r="X46" s="32"/>
      <c r="Y46" s="32"/>
      <c r="Z46" s="292"/>
      <c r="AA46" s="1" t="b">
        <f t="shared" si="28"/>
        <v>1</v>
      </c>
      <c r="AB46" s="23">
        <f t="shared" si="29"/>
        <v>0.7</v>
      </c>
      <c r="AC46" s="24" t="b">
        <f t="shared" si="30"/>
        <v>1</v>
      </c>
      <c r="AD46" s="24" t="b">
        <f t="shared" si="31"/>
        <v>1</v>
      </c>
    </row>
    <row r="47" spans="1:30" ht="15" customHeight="1" x14ac:dyDescent="0.25">
      <c r="A47" s="151">
        <v>45</v>
      </c>
      <c r="B47" s="211" t="s">
        <v>357</v>
      </c>
      <c r="C47" s="177" t="s">
        <v>121</v>
      </c>
      <c r="D47" s="180" t="s">
        <v>306</v>
      </c>
      <c r="E47" s="182">
        <v>2604123</v>
      </c>
      <c r="F47" s="180" t="s">
        <v>60</v>
      </c>
      <c r="G47" s="183" t="s">
        <v>358</v>
      </c>
      <c r="H47" s="180" t="s">
        <v>50</v>
      </c>
      <c r="I47" s="186">
        <v>0.46700000000000003</v>
      </c>
      <c r="J47" s="183" t="s">
        <v>167</v>
      </c>
      <c r="K47" s="196">
        <v>1939434.63</v>
      </c>
      <c r="L47" s="189">
        <v>1163660</v>
      </c>
      <c r="M47" s="189">
        <v>775774.63</v>
      </c>
      <c r="N47" s="191">
        <v>0.6</v>
      </c>
      <c r="O47" s="193">
        <v>0</v>
      </c>
      <c r="P47" s="193">
        <v>0</v>
      </c>
      <c r="Q47" s="194">
        <v>0</v>
      </c>
      <c r="R47" s="194">
        <v>0</v>
      </c>
      <c r="S47" s="194">
        <v>0</v>
      </c>
      <c r="T47" s="213">
        <v>0</v>
      </c>
      <c r="U47" s="233">
        <v>0</v>
      </c>
      <c r="V47" s="194">
        <v>1163660</v>
      </c>
      <c r="W47" s="194"/>
      <c r="X47" s="32"/>
      <c r="Y47" s="32"/>
      <c r="Z47" s="292"/>
      <c r="AA47" s="1" t="b">
        <f t="shared" si="28"/>
        <v>1</v>
      </c>
      <c r="AB47" s="23">
        <f t="shared" si="29"/>
        <v>0.6</v>
      </c>
      <c r="AC47" s="24" t="b">
        <f t="shared" si="30"/>
        <v>1</v>
      </c>
      <c r="AD47" s="24" t="b">
        <f t="shared" si="31"/>
        <v>1</v>
      </c>
    </row>
    <row r="48" spans="1:30" ht="21" customHeight="1" x14ac:dyDescent="0.25">
      <c r="A48" s="151">
        <v>46</v>
      </c>
      <c r="B48" s="211" t="s">
        <v>364</v>
      </c>
      <c r="C48" s="177" t="s">
        <v>121</v>
      </c>
      <c r="D48" s="180" t="s">
        <v>365</v>
      </c>
      <c r="E48" s="182">
        <v>2613052</v>
      </c>
      <c r="F48" s="180" t="s">
        <v>492</v>
      </c>
      <c r="G48" s="183" t="s">
        <v>366</v>
      </c>
      <c r="H48" s="180" t="s">
        <v>130</v>
      </c>
      <c r="I48" s="186">
        <v>0.34200000000000003</v>
      </c>
      <c r="J48" s="183" t="s">
        <v>367</v>
      </c>
      <c r="K48" s="196">
        <v>178774.52</v>
      </c>
      <c r="L48" s="189">
        <v>125142</v>
      </c>
      <c r="M48" s="189">
        <v>53632.52</v>
      </c>
      <c r="N48" s="191">
        <v>0.7</v>
      </c>
      <c r="O48" s="193">
        <v>0</v>
      </c>
      <c r="P48" s="193">
        <v>0</v>
      </c>
      <c r="Q48" s="194">
        <v>0</v>
      </c>
      <c r="R48" s="194">
        <v>0</v>
      </c>
      <c r="S48" s="194">
        <v>0</v>
      </c>
      <c r="T48" s="213">
        <v>0</v>
      </c>
      <c r="U48" s="233">
        <v>0</v>
      </c>
      <c r="V48" s="194">
        <v>125142</v>
      </c>
      <c r="W48" s="194"/>
      <c r="X48" s="32"/>
      <c r="Y48" s="32"/>
      <c r="Z48" s="292"/>
      <c r="AA48" s="1" t="b">
        <f t="shared" si="28"/>
        <v>1</v>
      </c>
      <c r="AB48" s="23">
        <f t="shared" si="29"/>
        <v>0.7</v>
      </c>
      <c r="AC48" s="24" t="b">
        <f t="shared" si="30"/>
        <v>1</v>
      </c>
      <c r="AD48" s="24" t="b">
        <f t="shared" si="31"/>
        <v>1</v>
      </c>
    </row>
    <row r="49" spans="1:30" ht="24" x14ac:dyDescent="0.25">
      <c r="A49" s="151">
        <v>47</v>
      </c>
      <c r="B49" s="211" t="s">
        <v>415</v>
      </c>
      <c r="C49" s="177" t="s">
        <v>121</v>
      </c>
      <c r="D49" s="180" t="s">
        <v>318</v>
      </c>
      <c r="E49" s="182">
        <v>2610011</v>
      </c>
      <c r="F49" s="180" t="s">
        <v>68</v>
      </c>
      <c r="G49" s="183" t="s">
        <v>416</v>
      </c>
      <c r="H49" s="180" t="s">
        <v>50</v>
      </c>
      <c r="I49" s="186">
        <v>0.28100000000000003</v>
      </c>
      <c r="J49" s="183" t="s">
        <v>319</v>
      </c>
      <c r="K49" s="196">
        <v>1589228.09</v>
      </c>
      <c r="L49" s="189">
        <v>1271382</v>
      </c>
      <c r="M49" s="189">
        <v>317846.09000000003</v>
      </c>
      <c r="N49" s="191">
        <v>0.8</v>
      </c>
      <c r="O49" s="193">
        <v>0</v>
      </c>
      <c r="P49" s="193">
        <v>0</v>
      </c>
      <c r="Q49" s="194">
        <v>0</v>
      </c>
      <c r="R49" s="194">
        <v>0</v>
      </c>
      <c r="S49" s="194">
        <v>0</v>
      </c>
      <c r="T49" s="213">
        <v>0</v>
      </c>
      <c r="U49" s="233">
        <v>0</v>
      </c>
      <c r="V49" s="194">
        <v>1271382</v>
      </c>
      <c r="W49" s="194"/>
      <c r="X49" s="32"/>
      <c r="Y49" s="32"/>
      <c r="Z49" s="292"/>
      <c r="AA49" s="1" t="b">
        <f t="shared" si="24"/>
        <v>1</v>
      </c>
      <c r="AB49" s="23">
        <f t="shared" si="25"/>
        <v>0.8</v>
      </c>
      <c r="AC49" s="24" t="b">
        <f t="shared" si="26"/>
        <v>1</v>
      </c>
      <c r="AD49" s="24" t="b">
        <f t="shared" si="27"/>
        <v>1</v>
      </c>
    </row>
    <row r="50" spans="1:30" ht="24" x14ac:dyDescent="0.25">
      <c r="A50" s="151">
        <v>48</v>
      </c>
      <c r="B50" s="211" t="s">
        <v>459</v>
      </c>
      <c r="C50" s="177" t="s">
        <v>121</v>
      </c>
      <c r="D50" s="180" t="s">
        <v>456</v>
      </c>
      <c r="E50" s="182">
        <v>2605023</v>
      </c>
      <c r="F50" s="180" t="s">
        <v>65</v>
      </c>
      <c r="G50" s="183" t="s">
        <v>460</v>
      </c>
      <c r="H50" s="180" t="s">
        <v>50</v>
      </c>
      <c r="I50" s="186">
        <v>0.214</v>
      </c>
      <c r="J50" s="183" t="s">
        <v>458</v>
      </c>
      <c r="K50" s="196">
        <v>301150.78999999998</v>
      </c>
      <c r="L50" s="189">
        <v>240920</v>
      </c>
      <c r="M50" s="189">
        <f>K50-L50</f>
        <v>60230.789999999979</v>
      </c>
      <c r="N50" s="191">
        <v>0.8</v>
      </c>
      <c r="O50" s="193">
        <v>0</v>
      </c>
      <c r="P50" s="193">
        <v>0</v>
      </c>
      <c r="Q50" s="194">
        <v>0</v>
      </c>
      <c r="R50" s="194">
        <v>0</v>
      </c>
      <c r="S50" s="194">
        <v>0</v>
      </c>
      <c r="T50" s="213">
        <v>0</v>
      </c>
      <c r="U50" s="233">
        <v>0</v>
      </c>
      <c r="V50" s="194">
        <f>L50</f>
        <v>240920</v>
      </c>
      <c r="W50" s="194"/>
      <c r="X50" s="32"/>
      <c r="Y50" s="32"/>
      <c r="Z50" s="292"/>
      <c r="AA50" s="1" t="b">
        <f t="shared" ref="AA50:AA51" si="32">L50=SUM(O50:Z50)</f>
        <v>1</v>
      </c>
      <c r="AB50" s="23">
        <f t="shared" ref="AB50:AB51" si="33">ROUND(L50/K50,4)</f>
        <v>0.8</v>
      </c>
      <c r="AC50" s="24" t="b">
        <f t="shared" ref="AC50:AC51" si="34">AB50=N50</f>
        <v>1</v>
      </c>
      <c r="AD50" s="24" t="b">
        <f t="shared" ref="AD50:AD51" si="35">K50=L50+M50</f>
        <v>1</v>
      </c>
    </row>
    <row r="51" spans="1:30" ht="24" x14ac:dyDescent="0.25">
      <c r="A51" s="151">
        <v>49</v>
      </c>
      <c r="B51" s="211" t="s">
        <v>382</v>
      </c>
      <c r="C51" s="177" t="s">
        <v>121</v>
      </c>
      <c r="D51" s="180" t="s">
        <v>318</v>
      </c>
      <c r="E51" s="182">
        <v>2610011</v>
      </c>
      <c r="F51" s="180" t="s">
        <v>68</v>
      </c>
      <c r="G51" s="183" t="s">
        <v>383</v>
      </c>
      <c r="H51" s="180" t="s">
        <v>49</v>
      </c>
      <c r="I51" s="186">
        <v>0.155</v>
      </c>
      <c r="J51" s="183" t="s">
        <v>319</v>
      </c>
      <c r="K51" s="196">
        <v>1036084.69</v>
      </c>
      <c r="L51" s="189">
        <v>828867</v>
      </c>
      <c r="M51" s="189">
        <v>207217.69</v>
      </c>
      <c r="N51" s="191">
        <v>0.8</v>
      </c>
      <c r="O51" s="193">
        <v>0</v>
      </c>
      <c r="P51" s="193">
        <v>0</v>
      </c>
      <c r="Q51" s="194">
        <v>0</v>
      </c>
      <c r="R51" s="194">
        <v>0</v>
      </c>
      <c r="S51" s="194">
        <v>0</v>
      </c>
      <c r="T51" s="213">
        <v>0</v>
      </c>
      <c r="U51" s="233">
        <v>0</v>
      </c>
      <c r="V51" s="194">
        <v>828867</v>
      </c>
      <c r="W51" s="194"/>
      <c r="X51" s="32"/>
      <c r="Y51" s="32"/>
      <c r="Z51" s="292"/>
      <c r="AA51" s="1" t="b">
        <f t="shared" si="32"/>
        <v>1</v>
      </c>
      <c r="AB51" s="23">
        <f t="shared" si="33"/>
        <v>0.8</v>
      </c>
      <c r="AC51" s="24" t="b">
        <f t="shared" si="34"/>
        <v>1</v>
      </c>
      <c r="AD51" s="24" t="b">
        <f t="shared" si="35"/>
        <v>1</v>
      </c>
    </row>
    <row r="52" spans="1:30" ht="24" x14ac:dyDescent="0.25">
      <c r="A52" s="301">
        <v>50</v>
      </c>
      <c r="B52" s="315" t="s">
        <v>448</v>
      </c>
      <c r="C52" s="303" t="s">
        <v>121</v>
      </c>
      <c r="D52" s="304" t="s">
        <v>449</v>
      </c>
      <c r="E52" s="305">
        <v>2609052</v>
      </c>
      <c r="F52" s="304" t="s">
        <v>491</v>
      </c>
      <c r="G52" s="304" t="s">
        <v>450</v>
      </c>
      <c r="H52" s="304" t="s">
        <v>50</v>
      </c>
      <c r="I52" s="307">
        <v>0.3</v>
      </c>
      <c r="J52" s="304" t="s">
        <v>161</v>
      </c>
      <c r="K52" s="308">
        <v>349271.24</v>
      </c>
      <c r="L52" s="308">
        <v>279416</v>
      </c>
      <c r="M52" s="308">
        <v>69855.240000000005</v>
      </c>
      <c r="N52" s="309">
        <v>0.8</v>
      </c>
      <c r="O52" s="310">
        <v>0</v>
      </c>
      <c r="P52" s="310">
        <v>0</v>
      </c>
      <c r="Q52" s="316">
        <v>0</v>
      </c>
      <c r="R52" s="316">
        <v>0</v>
      </c>
      <c r="S52" s="316">
        <v>0</v>
      </c>
      <c r="T52" s="312">
        <v>0</v>
      </c>
      <c r="U52" s="312">
        <v>0</v>
      </c>
      <c r="V52" s="311">
        <v>279416</v>
      </c>
      <c r="W52" s="317"/>
      <c r="X52" s="317"/>
      <c r="Y52" s="317"/>
      <c r="Z52" s="314"/>
      <c r="AA52" s="1" t="b">
        <f t="shared" ref="AA52:AA56" si="36">L52=SUM(O52:Z52)</f>
        <v>1</v>
      </c>
      <c r="AB52" s="23">
        <f t="shared" ref="AB52:AB56" si="37">ROUND(L52/K52,4)</f>
        <v>0.8</v>
      </c>
      <c r="AC52" s="24" t="b">
        <f t="shared" ref="AC52:AC56" si="38">AB52=N52</f>
        <v>1</v>
      </c>
      <c r="AD52" s="24" t="b">
        <f t="shared" ref="AD52:AD56" si="39">K52=L52+M52</f>
        <v>1</v>
      </c>
    </row>
    <row r="53" spans="1:30" x14ac:dyDescent="0.25">
      <c r="A53" s="301">
        <v>51</v>
      </c>
      <c r="B53" s="315" t="s">
        <v>461</v>
      </c>
      <c r="C53" s="303" t="s">
        <v>121</v>
      </c>
      <c r="D53" s="304" t="s">
        <v>380</v>
      </c>
      <c r="E53" s="305">
        <v>2609033</v>
      </c>
      <c r="F53" s="304" t="s">
        <v>491</v>
      </c>
      <c r="G53" s="304" t="s">
        <v>462</v>
      </c>
      <c r="H53" s="304" t="s">
        <v>130</v>
      </c>
      <c r="I53" s="307">
        <v>0.187</v>
      </c>
      <c r="J53" s="304" t="s">
        <v>325</v>
      </c>
      <c r="K53" s="308">
        <v>363509.53</v>
      </c>
      <c r="L53" s="308">
        <v>290807</v>
      </c>
      <c r="M53" s="308">
        <v>72702.53</v>
      </c>
      <c r="N53" s="309">
        <v>0.8</v>
      </c>
      <c r="O53" s="310">
        <v>0</v>
      </c>
      <c r="P53" s="310">
        <v>0</v>
      </c>
      <c r="Q53" s="316">
        <v>0</v>
      </c>
      <c r="R53" s="316">
        <v>0</v>
      </c>
      <c r="S53" s="316">
        <v>0</v>
      </c>
      <c r="T53" s="312">
        <v>0</v>
      </c>
      <c r="U53" s="312">
        <v>0</v>
      </c>
      <c r="V53" s="311">
        <v>290807</v>
      </c>
      <c r="W53" s="317"/>
      <c r="X53" s="317"/>
      <c r="Y53" s="317"/>
      <c r="Z53" s="314"/>
      <c r="AA53" s="1" t="b">
        <f t="shared" si="36"/>
        <v>1</v>
      </c>
      <c r="AB53" s="23">
        <f t="shared" si="37"/>
        <v>0.8</v>
      </c>
      <c r="AC53" s="24" t="b">
        <f t="shared" si="38"/>
        <v>1</v>
      </c>
      <c r="AD53" s="24" t="b">
        <f t="shared" si="39"/>
        <v>1</v>
      </c>
    </row>
    <row r="54" spans="1:30" ht="24" x14ac:dyDescent="0.25">
      <c r="A54" s="301">
        <v>52</v>
      </c>
      <c r="B54" s="302" t="s">
        <v>227</v>
      </c>
      <c r="C54" s="303" t="s">
        <v>121</v>
      </c>
      <c r="D54" s="304" t="s">
        <v>228</v>
      </c>
      <c r="E54" s="305">
        <v>2601083</v>
      </c>
      <c r="F54" s="304" t="s">
        <v>63</v>
      </c>
      <c r="G54" s="304" t="s">
        <v>229</v>
      </c>
      <c r="H54" s="304" t="s">
        <v>50</v>
      </c>
      <c r="I54" s="307">
        <v>0.78</v>
      </c>
      <c r="J54" s="304" t="s">
        <v>204</v>
      </c>
      <c r="K54" s="308">
        <v>731476.3</v>
      </c>
      <c r="L54" s="308">
        <v>512033</v>
      </c>
      <c r="M54" s="308">
        <v>219443.3</v>
      </c>
      <c r="N54" s="309">
        <v>0.7</v>
      </c>
      <c r="O54" s="310">
        <v>0</v>
      </c>
      <c r="P54" s="310">
        <v>0</v>
      </c>
      <c r="Q54" s="316">
        <v>0</v>
      </c>
      <c r="R54" s="316">
        <v>0</v>
      </c>
      <c r="S54" s="316">
        <v>0</v>
      </c>
      <c r="T54" s="312">
        <v>0</v>
      </c>
      <c r="U54" s="312">
        <v>0</v>
      </c>
      <c r="V54" s="311">
        <v>512033</v>
      </c>
      <c r="W54" s="317"/>
      <c r="X54" s="317"/>
      <c r="Y54" s="317"/>
      <c r="Z54" s="318"/>
      <c r="AA54" s="1" t="b">
        <f t="shared" si="36"/>
        <v>1</v>
      </c>
      <c r="AB54" s="23">
        <f t="shared" si="37"/>
        <v>0.7</v>
      </c>
      <c r="AC54" s="24" t="b">
        <f t="shared" si="38"/>
        <v>1</v>
      </c>
      <c r="AD54" s="24" t="b">
        <f t="shared" si="39"/>
        <v>1</v>
      </c>
    </row>
    <row r="55" spans="1:30" ht="24" x14ac:dyDescent="0.25">
      <c r="A55" s="301">
        <v>53</v>
      </c>
      <c r="B55" s="302" t="s">
        <v>300</v>
      </c>
      <c r="C55" s="303" t="s">
        <v>121</v>
      </c>
      <c r="D55" s="304" t="s">
        <v>301</v>
      </c>
      <c r="E55" s="305">
        <v>2602083</v>
      </c>
      <c r="F55" s="304" t="s">
        <v>490</v>
      </c>
      <c r="G55" s="304" t="s">
        <v>302</v>
      </c>
      <c r="H55" s="304" t="s">
        <v>50</v>
      </c>
      <c r="I55" s="307">
        <v>0.43099999999999999</v>
      </c>
      <c r="J55" s="304" t="s">
        <v>150</v>
      </c>
      <c r="K55" s="308">
        <v>1473553.28</v>
      </c>
      <c r="L55" s="308">
        <v>884131</v>
      </c>
      <c r="M55" s="308">
        <v>589422.28</v>
      </c>
      <c r="N55" s="309">
        <v>0.6</v>
      </c>
      <c r="O55" s="310">
        <v>0</v>
      </c>
      <c r="P55" s="310">
        <v>0</v>
      </c>
      <c r="Q55" s="316">
        <v>0</v>
      </c>
      <c r="R55" s="316">
        <v>0</v>
      </c>
      <c r="S55" s="316">
        <v>0</v>
      </c>
      <c r="T55" s="312">
        <v>0</v>
      </c>
      <c r="U55" s="312">
        <v>0</v>
      </c>
      <c r="V55" s="311">
        <v>884131</v>
      </c>
      <c r="W55" s="317"/>
      <c r="X55" s="317"/>
      <c r="Y55" s="317"/>
      <c r="Z55" s="318"/>
      <c r="AA55" s="1" t="b">
        <f t="shared" si="36"/>
        <v>1</v>
      </c>
      <c r="AB55" s="23">
        <f t="shared" si="37"/>
        <v>0.6</v>
      </c>
      <c r="AC55" s="24" t="b">
        <f t="shared" si="38"/>
        <v>1</v>
      </c>
      <c r="AD55" s="24" t="b">
        <f t="shared" si="39"/>
        <v>1</v>
      </c>
    </row>
    <row r="56" spans="1:30" ht="24" x14ac:dyDescent="0.25">
      <c r="A56" s="301">
        <v>54</v>
      </c>
      <c r="B56" s="302" t="s">
        <v>359</v>
      </c>
      <c r="C56" s="303" t="s">
        <v>121</v>
      </c>
      <c r="D56" s="304" t="s">
        <v>360</v>
      </c>
      <c r="E56" s="305">
        <v>2606023</v>
      </c>
      <c r="F56" s="304" t="s">
        <v>70</v>
      </c>
      <c r="G56" s="304" t="s">
        <v>361</v>
      </c>
      <c r="H56" s="304" t="s">
        <v>130</v>
      </c>
      <c r="I56" s="307">
        <v>0.375</v>
      </c>
      <c r="J56" s="304" t="s">
        <v>146</v>
      </c>
      <c r="K56" s="308">
        <v>471676.45</v>
      </c>
      <c r="L56" s="308">
        <v>330173</v>
      </c>
      <c r="M56" s="308">
        <v>141503.45000000001</v>
      </c>
      <c r="N56" s="309">
        <v>0.7</v>
      </c>
      <c r="O56" s="310">
        <v>0</v>
      </c>
      <c r="P56" s="310">
        <v>0</v>
      </c>
      <c r="Q56" s="316">
        <v>0</v>
      </c>
      <c r="R56" s="316">
        <v>0</v>
      </c>
      <c r="S56" s="316">
        <v>0</v>
      </c>
      <c r="T56" s="312">
        <v>0</v>
      </c>
      <c r="U56" s="312">
        <v>0</v>
      </c>
      <c r="V56" s="311">
        <v>330173</v>
      </c>
      <c r="W56" s="317"/>
      <c r="X56" s="317"/>
      <c r="Y56" s="317"/>
      <c r="Z56" s="318"/>
      <c r="AA56" s="1" t="b">
        <f t="shared" si="36"/>
        <v>1</v>
      </c>
      <c r="AB56" s="23">
        <f t="shared" si="37"/>
        <v>0.7</v>
      </c>
      <c r="AC56" s="24" t="b">
        <f t="shared" si="38"/>
        <v>1</v>
      </c>
      <c r="AD56" s="24" t="b">
        <f t="shared" si="39"/>
        <v>1</v>
      </c>
    </row>
    <row r="57" spans="1:30" x14ac:dyDescent="0.25">
      <c r="A57" s="243" t="s">
        <v>512</v>
      </c>
      <c r="B57" s="200" t="s">
        <v>215</v>
      </c>
      <c r="C57" s="201" t="s">
        <v>121</v>
      </c>
      <c r="D57" s="202" t="s">
        <v>216</v>
      </c>
      <c r="E57" s="244">
        <v>2602063</v>
      </c>
      <c r="F57" s="202" t="s">
        <v>490</v>
      </c>
      <c r="G57" s="203" t="s">
        <v>217</v>
      </c>
      <c r="H57" s="202" t="s">
        <v>130</v>
      </c>
      <c r="I57" s="245">
        <v>1.633</v>
      </c>
      <c r="J57" s="203" t="s">
        <v>167</v>
      </c>
      <c r="K57" s="204">
        <v>941452.5</v>
      </c>
      <c r="L57" s="205">
        <f>659016-467800</f>
        <v>191216</v>
      </c>
      <c r="M57" s="205">
        <f>K57-L57</f>
        <v>750236.5</v>
      </c>
      <c r="N57" s="206">
        <v>0.7</v>
      </c>
      <c r="O57" s="207">
        <v>0</v>
      </c>
      <c r="P57" s="207">
        <v>0</v>
      </c>
      <c r="Q57" s="246">
        <v>0</v>
      </c>
      <c r="R57" s="246">
        <v>0</v>
      </c>
      <c r="S57" s="246">
        <v>0</v>
      </c>
      <c r="T57" s="247">
        <v>0</v>
      </c>
      <c r="U57" s="248">
        <v>0</v>
      </c>
      <c r="V57" s="246">
        <f>L57</f>
        <v>191216</v>
      </c>
      <c r="W57" s="246"/>
      <c r="X57" s="283"/>
      <c r="Y57" s="283"/>
      <c r="Z57" s="292"/>
      <c r="AA57" s="1" t="b">
        <f t="shared" ref="AA57" si="40">L57=SUM(O57:Z57)</f>
        <v>1</v>
      </c>
      <c r="AB57" s="23">
        <f t="shared" ref="AB57" si="41">ROUND(L57/K57,4)</f>
        <v>0.2031</v>
      </c>
      <c r="AC57" s="24" t="b">
        <f t="shared" ref="AC57" si="42">AB57=N57</f>
        <v>0</v>
      </c>
      <c r="AD57" s="24" t="b">
        <f t="shared" ref="AD57" si="43">K57=L57+M57</f>
        <v>1</v>
      </c>
    </row>
    <row r="58" spans="1:30" ht="20.100000000000001" customHeight="1" x14ac:dyDescent="0.25">
      <c r="A58" s="350" t="s">
        <v>43</v>
      </c>
      <c r="B58" s="351"/>
      <c r="C58" s="351"/>
      <c r="D58" s="351"/>
      <c r="E58" s="351"/>
      <c r="F58" s="351"/>
      <c r="G58" s="351"/>
      <c r="H58" s="352"/>
      <c r="I58" s="152">
        <f>SUM(I3:I57)</f>
        <v>35.710999999999991</v>
      </c>
      <c r="J58" s="153" t="s">
        <v>14</v>
      </c>
      <c r="K58" s="154">
        <f>SUM(K3:K57)</f>
        <v>182009196.30000001</v>
      </c>
      <c r="L58" s="154">
        <f>SUM(L3:L57)</f>
        <v>131391273</v>
      </c>
      <c r="M58" s="154">
        <f>SUM(M3:M57)</f>
        <v>50617923.29999999</v>
      </c>
      <c r="N58" s="155" t="s">
        <v>14</v>
      </c>
      <c r="O58" s="154">
        <f t="shared" ref="O58:Z58" si="44">SUM(O3:O57)</f>
        <v>0</v>
      </c>
      <c r="P58" s="154">
        <f t="shared" si="44"/>
        <v>0</v>
      </c>
      <c r="Q58" s="160">
        <f t="shared" si="44"/>
        <v>0</v>
      </c>
      <c r="R58" s="160">
        <f t="shared" si="44"/>
        <v>0</v>
      </c>
      <c r="S58" s="160">
        <f t="shared" si="44"/>
        <v>0</v>
      </c>
      <c r="T58" s="208">
        <f t="shared" si="44"/>
        <v>1430156</v>
      </c>
      <c r="U58" s="160">
        <f t="shared" si="44"/>
        <v>16698874.75</v>
      </c>
      <c r="V58" s="160">
        <f t="shared" si="44"/>
        <v>87525899.25</v>
      </c>
      <c r="W58" s="160">
        <f t="shared" si="44"/>
        <v>19413592</v>
      </c>
      <c r="X58" s="160">
        <f t="shared" si="44"/>
        <v>6322751</v>
      </c>
      <c r="Y58" s="160">
        <f t="shared" si="44"/>
        <v>0</v>
      </c>
      <c r="Z58" s="160">
        <f t="shared" si="44"/>
        <v>0</v>
      </c>
      <c r="AA58" s="1" t="b">
        <f>L58=SUM(O58:Z58)</f>
        <v>1</v>
      </c>
      <c r="AB58" s="23">
        <f>ROUND(L58/K58,4)</f>
        <v>0.72189999999999999</v>
      </c>
      <c r="AC58" s="24" t="s">
        <v>14</v>
      </c>
      <c r="AD58" s="24" t="b">
        <f>K58=L58+M58</f>
        <v>1</v>
      </c>
    </row>
    <row r="59" spans="1:30" ht="20.100000000000001" customHeight="1" x14ac:dyDescent="0.25">
      <c r="A59" s="350" t="s">
        <v>36</v>
      </c>
      <c r="B59" s="351"/>
      <c r="C59" s="351"/>
      <c r="D59" s="351"/>
      <c r="E59" s="351"/>
      <c r="F59" s="351"/>
      <c r="G59" s="351"/>
      <c r="H59" s="352"/>
      <c r="I59" s="152">
        <f>SUMIF($C$3:$C$57,"K",I3:I57)</f>
        <v>8.2719999999999985</v>
      </c>
      <c r="J59" s="153" t="s">
        <v>14</v>
      </c>
      <c r="K59" s="154">
        <f>SUMIF($C$3:$C$57,"K",K3:K57)</f>
        <v>61221742.850000001</v>
      </c>
      <c r="L59" s="154">
        <f>SUMIF($C$3:$C$57,"K",L3:L57)</f>
        <v>45389380</v>
      </c>
      <c r="M59" s="154">
        <f>SUMIF($C$3:$C$57,"K",M3:M57)</f>
        <v>15832362.850000001</v>
      </c>
      <c r="N59" s="155" t="s">
        <v>14</v>
      </c>
      <c r="O59" s="154">
        <f t="shared" ref="O59:Z59" si="45">SUMIF($C$3:$C$57,"K",O3:O57)</f>
        <v>0</v>
      </c>
      <c r="P59" s="154">
        <f t="shared" si="45"/>
        <v>0</v>
      </c>
      <c r="Q59" s="160">
        <f t="shared" si="45"/>
        <v>0</v>
      </c>
      <c r="R59" s="160">
        <f t="shared" si="45"/>
        <v>0</v>
      </c>
      <c r="S59" s="160">
        <f t="shared" si="45"/>
        <v>0</v>
      </c>
      <c r="T59" s="160">
        <f t="shared" si="45"/>
        <v>1430156</v>
      </c>
      <c r="U59" s="160">
        <f t="shared" si="45"/>
        <v>16698874.75</v>
      </c>
      <c r="V59" s="160">
        <f t="shared" si="45"/>
        <v>21189670.25</v>
      </c>
      <c r="W59" s="160">
        <f t="shared" si="45"/>
        <v>6070679</v>
      </c>
      <c r="X59" s="160">
        <f t="shared" si="45"/>
        <v>0</v>
      </c>
      <c r="Y59" s="160">
        <f t="shared" si="45"/>
        <v>0</v>
      </c>
      <c r="Z59" s="160">
        <f t="shared" si="45"/>
        <v>0</v>
      </c>
      <c r="AA59" s="1" t="b">
        <f>L59=SUM(O59:Z59)</f>
        <v>1</v>
      </c>
      <c r="AB59" s="23">
        <f>ROUND(L59/K59,4)</f>
        <v>0.74139999999999995</v>
      </c>
      <c r="AC59" s="24" t="s">
        <v>14</v>
      </c>
      <c r="AD59" s="24" t="b">
        <f>K59=L59+M59</f>
        <v>1</v>
      </c>
    </row>
    <row r="60" spans="1:30" ht="20.100000000000001" customHeight="1" x14ac:dyDescent="0.25">
      <c r="A60" s="350" t="s">
        <v>37</v>
      </c>
      <c r="B60" s="351"/>
      <c r="C60" s="351"/>
      <c r="D60" s="351"/>
      <c r="E60" s="351"/>
      <c r="F60" s="351"/>
      <c r="G60" s="351"/>
      <c r="H60" s="352"/>
      <c r="I60" s="152">
        <f>SUMIF($C$3:$C$57,"N",I3:I57)</f>
        <v>23.362999999999996</v>
      </c>
      <c r="J60" s="153" t="s">
        <v>14</v>
      </c>
      <c r="K60" s="154">
        <f>SUMIF($C$3:$C$57,"N",K3:K57)</f>
        <v>84483013.87999998</v>
      </c>
      <c r="L60" s="154">
        <f>SUMIF($C$3:$C$57,"N",L3:L57)</f>
        <v>59418239</v>
      </c>
      <c r="M60" s="154">
        <f>SUMIF($C$3:$C$57,"N",M3:M57)</f>
        <v>25064774.879999995</v>
      </c>
      <c r="N60" s="155" t="s">
        <v>14</v>
      </c>
      <c r="O60" s="154">
        <f t="shared" ref="O60:Z60" si="46">SUMIF($C$3:$C$57,"N",O3:O57)</f>
        <v>0</v>
      </c>
      <c r="P60" s="154">
        <f t="shared" si="46"/>
        <v>0</v>
      </c>
      <c r="Q60" s="160">
        <f t="shared" si="46"/>
        <v>0</v>
      </c>
      <c r="R60" s="160">
        <f t="shared" si="46"/>
        <v>0</v>
      </c>
      <c r="S60" s="160">
        <f t="shared" si="46"/>
        <v>0</v>
      </c>
      <c r="T60" s="160">
        <f t="shared" si="46"/>
        <v>0</v>
      </c>
      <c r="U60" s="160">
        <f t="shared" si="46"/>
        <v>0</v>
      </c>
      <c r="V60" s="160">
        <f t="shared" si="46"/>
        <v>59418239</v>
      </c>
      <c r="W60" s="160">
        <f t="shared" si="46"/>
        <v>0</v>
      </c>
      <c r="X60" s="160">
        <f t="shared" si="46"/>
        <v>0</v>
      </c>
      <c r="Y60" s="160">
        <f t="shared" si="46"/>
        <v>0</v>
      </c>
      <c r="Z60" s="160">
        <f t="shared" si="46"/>
        <v>0</v>
      </c>
      <c r="AA60" s="1" t="b">
        <f>L60=SUM(O60:Z60)</f>
        <v>1</v>
      </c>
      <c r="AB60" s="23">
        <f>ROUND(L60/K60,4)</f>
        <v>0.70330000000000004</v>
      </c>
      <c r="AC60" s="24" t="s">
        <v>14</v>
      </c>
      <c r="AD60" s="24" t="b">
        <f>K60=L60+M60</f>
        <v>1</v>
      </c>
    </row>
    <row r="61" spans="1:30" ht="20.100000000000001" customHeight="1" x14ac:dyDescent="0.25">
      <c r="A61" s="347" t="s">
        <v>38</v>
      </c>
      <c r="B61" s="348"/>
      <c r="C61" s="348"/>
      <c r="D61" s="348"/>
      <c r="E61" s="348"/>
      <c r="F61" s="348"/>
      <c r="G61" s="348"/>
      <c r="H61" s="349"/>
      <c r="I61" s="157">
        <f>SUMIF($C$3:$C$57,"W",I3:I57)</f>
        <v>4.0760000000000005</v>
      </c>
      <c r="J61" s="158" t="s">
        <v>14</v>
      </c>
      <c r="K61" s="145">
        <f>SUMIF($C$3:$C$57,"W",K3:K57)</f>
        <v>36304439.57</v>
      </c>
      <c r="L61" s="145">
        <f>SUMIF($C$3:$C$57,"W",L3:L57)</f>
        <v>26583654</v>
      </c>
      <c r="M61" s="145">
        <f>SUMIF($C$3:$C$57,"W",M3:M57)</f>
        <v>9720785.5700000003</v>
      </c>
      <c r="N61" s="159" t="s">
        <v>14</v>
      </c>
      <c r="O61" s="145">
        <f t="shared" ref="O61:Z61" si="47">SUMIF($C$3:$C$57,"W",O3:O57)</f>
        <v>0</v>
      </c>
      <c r="P61" s="145">
        <f t="shared" si="47"/>
        <v>0</v>
      </c>
      <c r="Q61" s="161">
        <f t="shared" si="47"/>
        <v>0</v>
      </c>
      <c r="R61" s="161">
        <f t="shared" si="47"/>
        <v>0</v>
      </c>
      <c r="S61" s="161">
        <f t="shared" si="47"/>
        <v>0</v>
      </c>
      <c r="T61" s="161">
        <f t="shared" si="47"/>
        <v>0</v>
      </c>
      <c r="U61" s="161">
        <f t="shared" si="47"/>
        <v>0</v>
      </c>
      <c r="V61" s="161">
        <f t="shared" si="47"/>
        <v>6917990</v>
      </c>
      <c r="W61" s="161">
        <f t="shared" si="47"/>
        <v>13342913</v>
      </c>
      <c r="X61" s="161">
        <f t="shared" si="47"/>
        <v>6322751</v>
      </c>
      <c r="Y61" s="161">
        <f t="shared" si="47"/>
        <v>0</v>
      </c>
      <c r="Z61" s="161">
        <f t="shared" si="47"/>
        <v>0</v>
      </c>
      <c r="AA61" s="1" t="b">
        <f>L61=SUM(O61:Z61)</f>
        <v>1</v>
      </c>
      <c r="AB61" s="23">
        <f t="shared" ref="AB61" si="48">ROUND(L61/K61,4)</f>
        <v>0.73219999999999996</v>
      </c>
      <c r="AC61" s="24" t="s">
        <v>14</v>
      </c>
      <c r="AD61" s="24" t="b">
        <f t="shared" ref="AD61" si="49">K61=L61+M61</f>
        <v>1</v>
      </c>
    </row>
    <row r="62" spans="1:30" x14ac:dyDescent="0.25">
      <c r="A62" s="170"/>
      <c r="B62" s="168"/>
      <c r="C62" s="168"/>
      <c r="D62" s="168"/>
      <c r="E62" s="219"/>
      <c r="F62" s="168"/>
      <c r="G62" s="168"/>
      <c r="H62" s="168"/>
      <c r="I62" s="168"/>
      <c r="J62" s="168"/>
      <c r="K62" s="171"/>
      <c r="L62" s="168"/>
      <c r="M62" s="168"/>
      <c r="N62" s="165"/>
      <c r="O62" s="168"/>
      <c r="P62" s="168"/>
      <c r="Q62" s="168"/>
      <c r="R62" s="168"/>
      <c r="S62" s="168"/>
      <c r="T62" s="168"/>
      <c r="U62" s="168"/>
      <c r="V62" s="168"/>
      <c r="W62" s="168"/>
      <c r="X62" s="168"/>
      <c r="Y62" s="168"/>
      <c r="Z62" s="168"/>
    </row>
    <row r="63" spans="1:30" x14ac:dyDescent="0.25">
      <c r="A63" s="162" t="s">
        <v>23</v>
      </c>
      <c r="B63" s="168"/>
      <c r="C63" s="168"/>
      <c r="D63" s="168"/>
      <c r="E63" s="219"/>
      <c r="F63" s="168"/>
      <c r="G63" s="168"/>
      <c r="H63" s="168"/>
      <c r="I63" s="168"/>
      <c r="J63" s="168"/>
      <c r="K63" s="168"/>
      <c r="L63" s="168"/>
      <c r="M63" s="168"/>
      <c r="N63" s="165"/>
      <c r="O63" s="168"/>
      <c r="P63" s="168"/>
      <c r="Q63" s="168"/>
      <c r="R63" s="168"/>
      <c r="S63" s="168"/>
      <c r="T63" s="168"/>
      <c r="U63" s="240"/>
      <c r="V63" s="240">
        <f>85229339.25-V58</f>
        <v>-2296560</v>
      </c>
      <c r="W63" s="168"/>
      <c r="X63" s="168"/>
      <c r="Y63" s="168"/>
      <c r="Z63" s="168"/>
    </row>
    <row r="64" spans="1:30" x14ac:dyDescent="0.25">
      <c r="A64" s="166" t="s">
        <v>24</v>
      </c>
      <c r="B64" s="168"/>
      <c r="C64" s="168"/>
      <c r="D64" s="168"/>
      <c r="E64" s="219"/>
      <c r="F64" s="168"/>
      <c r="G64" s="168"/>
      <c r="H64" s="168"/>
      <c r="I64" s="168"/>
      <c r="J64" s="168"/>
      <c r="K64" s="168"/>
      <c r="L64" s="168"/>
      <c r="M64" s="168"/>
      <c r="N64" s="165"/>
      <c r="O64" s="168"/>
      <c r="P64" s="168"/>
      <c r="Q64" s="168"/>
      <c r="R64" s="168"/>
      <c r="S64" s="168"/>
      <c r="T64" s="168"/>
      <c r="U64" s="240"/>
      <c r="V64" s="240"/>
      <c r="W64" s="168"/>
      <c r="X64" s="168"/>
      <c r="Y64" s="168"/>
      <c r="Z64" s="168"/>
    </row>
    <row r="65" spans="1:26" x14ac:dyDescent="0.25">
      <c r="A65" s="162" t="s">
        <v>41</v>
      </c>
      <c r="B65" s="168"/>
      <c r="C65" s="168"/>
      <c r="D65" s="168"/>
      <c r="E65" s="219"/>
      <c r="F65" s="168"/>
      <c r="G65" s="168"/>
      <c r="H65" s="168"/>
      <c r="I65" s="168"/>
      <c r="J65" s="168"/>
      <c r="K65" s="168"/>
      <c r="L65" s="168"/>
      <c r="M65" s="168"/>
      <c r="N65" s="165"/>
      <c r="O65" s="168"/>
      <c r="P65" s="168"/>
      <c r="Q65" s="168"/>
      <c r="R65" s="168"/>
      <c r="S65" s="168"/>
      <c r="T65" s="168"/>
      <c r="U65" s="240"/>
      <c r="V65" s="168"/>
      <c r="W65" s="168"/>
      <c r="X65" s="168"/>
      <c r="Y65" s="168"/>
      <c r="Z65" s="168"/>
    </row>
    <row r="66" spans="1:26" x14ac:dyDescent="0.25">
      <c r="A66" s="249" t="s">
        <v>45</v>
      </c>
      <c r="H66" s="168"/>
      <c r="I66" s="168"/>
      <c r="J66" s="168"/>
      <c r="K66" s="168"/>
      <c r="L66" s="168"/>
      <c r="M66" s="168"/>
      <c r="N66" s="165"/>
      <c r="O66" s="168"/>
      <c r="P66" s="168"/>
      <c r="Q66" s="168"/>
      <c r="R66" s="168"/>
      <c r="S66" s="168"/>
      <c r="T66" s="168"/>
      <c r="U66" s="168"/>
      <c r="V66" s="168"/>
      <c r="W66" s="168"/>
      <c r="X66" s="168"/>
      <c r="Y66" s="168"/>
      <c r="Z66" s="168"/>
    </row>
  </sheetData>
  <mergeCells count="19">
    <mergeCell ref="F1:F2"/>
    <mergeCell ref="G1:G2"/>
    <mergeCell ref="D1:D2"/>
    <mergeCell ref="O1:Z1"/>
    <mergeCell ref="A61:H61"/>
    <mergeCell ref="A60:H60"/>
    <mergeCell ref="E1:E2"/>
    <mergeCell ref="A59:H59"/>
    <mergeCell ref="N1:N2"/>
    <mergeCell ref="L1:L2"/>
    <mergeCell ref="M1:M2"/>
    <mergeCell ref="A58:H58"/>
    <mergeCell ref="H1:H2"/>
    <mergeCell ref="I1:I2"/>
    <mergeCell ref="J1:J2"/>
    <mergeCell ref="K1:K2"/>
    <mergeCell ref="A1:A2"/>
    <mergeCell ref="B1:B2"/>
    <mergeCell ref="C1:C2"/>
  </mergeCells>
  <conditionalFormatting sqref="B8:B13">
    <cfRule type="expression" dxfId="77" priority="271">
      <formula>#REF!="odrzucenie"</formula>
    </cfRule>
    <cfRule type="expression" dxfId="76" priority="272">
      <formula>#REF!="rezygnacja"</formula>
    </cfRule>
  </conditionalFormatting>
  <conditionalFormatting sqref="B14:B16">
    <cfRule type="expression" dxfId="75" priority="179">
      <formula>$P14="odrzucenie"</formula>
    </cfRule>
    <cfRule type="expression" dxfId="74" priority="180">
      <formula>$P14="rezygnacja"</formula>
    </cfRule>
  </conditionalFormatting>
  <conditionalFormatting sqref="B17:B25">
    <cfRule type="expression" dxfId="73" priority="1134">
      <formula>$P113="odrzucenie"</formula>
    </cfRule>
    <cfRule type="expression" dxfId="72" priority="1135">
      <formula>$P113="rezygnacja"</formula>
    </cfRule>
  </conditionalFormatting>
  <conditionalFormatting sqref="B17:B48">
    <cfRule type="expression" dxfId="71" priority="187">
      <formula>#REF!="odrzucenie"</formula>
    </cfRule>
    <cfRule type="expression" dxfId="70" priority="188">
      <formula>#REF!="rezygnacja"</formula>
    </cfRule>
  </conditionalFormatting>
  <conditionalFormatting sqref="B26:B33">
    <cfRule type="expression" dxfId="69" priority="1122">
      <formula>$P114="odrzucenie"</formula>
    </cfRule>
    <cfRule type="expression" dxfId="68" priority="1123">
      <formula>$P114="rezygnacja"</formula>
    </cfRule>
  </conditionalFormatting>
  <conditionalFormatting sqref="B34">
    <cfRule type="expression" dxfId="67" priority="1184">
      <formula>$P114="odrzucenie"</formula>
    </cfRule>
    <cfRule type="expression" dxfId="66" priority="1185">
      <formula>$P114="rezygnacja"</formula>
    </cfRule>
  </conditionalFormatting>
  <conditionalFormatting sqref="B35:B37">
    <cfRule type="expression" dxfId="65" priority="1144">
      <formula>$P116="odrzucenie"</formula>
    </cfRule>
    <cfRule type="expression" dxfId="64" priority="1145">
      <formula>$P116="rezygnacja"</formula>
    </cfRule>
  </conditionalFormatting>
  <conditionalFormatting sqref="B38:B44">
    <cfRule type="expression" dxfId="63" priority="1154">
      <formula>$P115="odrzucenie"</formula>
    </cfRule>
    <cfRule type="expression" dxfId="62" priority="1155">
      <formula>$P115="rezygnacja"</formula>
    </cfRule>
  </conditionalFormatting>
  <conditionalFormatting sqref="B45:B48">
    <cfRule type="expression" dxfId="61" priority="175">
      <formula>$P118="odrzucenie"</formula>
    </cfRule>
    <cfRule type="expression" dxfId="60" priority="176">
      <formula>$P118="rezygnacja"</formula>
    </cfRule>
  </conditionalFormatting>
  <conditionalFormatting sqref="D8:N51 B49:B51 B57 D57:N57">
    <cfRule type="expression" dxfId="59" priority="35">
      <formula>$P8="odrzucenie"</formula>
    </cfRule>
    <cfRule type="expression" dxfId="58" priority="36">
      <formula>$P8="rezygnacja"</formula>
    </cfRule>
  </conditionalFormatting>
  <conditionalFormatting sqref="T14:T51 T57">
    <cfRule type="expression" dxfId="57" priority="33">
      <formula>$Q14="odrzucenie"</formula>
    </cfRule>
    <cfRule type="expression" dxfId="56" priority="34">
      <formula>$Q14="rezygnacja"</formula>
    </cfRule>
  </conditionalFormatting>
  <conditionalFormatting sqref="U14:U51 U57">
    <cfRule type="expression" dxfId="55" priority="37">
      <formula>#REF!="odrzucenie"</formula>
    </cfRule>
    <cfRule type="expression" dxfId="54" priority="38">
      <formula>#REF!="rezygnacja"</formula>
    </cfRule>
  </conditionalFormatting>
  <conditionalFormatting sqref="AA3:AC61">
    <cfRule type="containsText" dxfId="53" priority="535" operator="containsText" text="fałsz">
      <formula>NOT(ISERROR(SEARCH("fałsz",AA3)))</formula>
    </cfRule>
  </conditionalFormatting>
  <conditionalFormatting sqref="AA3:AD61">
    <cfRule type="cellIs" dxfId="52" priority="533" operator="equal">
      <formula>FALSE</formula>
    </cfRule>
  </conditionalFormatting>
  <conditionalFormatting sqref="D52:N52 B52">
    <cfRule type="expression" dxfId="51" priority="29">
      <formula>$P52="odrzucenie"</formula>
    </cfRule>
    <cfRule type="expression" dxfId="50" priority="30">
      <formula>$P52="rezygnacja"</formula>
    </cfRule>
  </conditionalFormatting>
  <conditionalFormatting sqref="T52">
    <cfRule type="expression" dxfId="49" priority="27">
      <formula>$Q52="odrzucenie"</formula>
    </cfRule>
    <cfRule type="expression" dxfId="48" priority="28">
      <formula>$Q52="rezygnacja"</formula>
    </cfRule>
  </conditionalFormatting>
  <conditionalFormatting sqref="U52">
    <cfRule type="expression" dxfId="47" priority="31">
      <formula>#REF!="odrzucenie"</formula>
    </cfRule>
    <cfRule type="expression" dxfId="46" priority="32">
      <formula>#REF!="rezygnacja"</formula>
    </cfRule>
  </conditionalFormatting>
  <conditionalFormatting sqref="D53:N53 B53">
    <cfRule type="expression" dxfId="45" priority="23">
      <formula>$P53="odrzucenie"</formula>
    </cfRule>
    <cfRule type="expression" dxfId="44" priority="24">
      <formula>$P53="rezygnacja"</formula>
    </cfRule>
  </conditionalFormatting>
  <conditionalFormatting sqref="T53">
    <cfRule type="expression" dxfId="43" priority="21">
      <formula>$Q53="odrzucenie"</formula>
    </cfRule>
    <cfRule type="expression" dxfId="42" priority="22">
      <formula>$Q53="rezygnacja"</formula>
    </cfRule>
  </conditionalFormatting>
  <conditionalFormatting sqref="U53">
    <cfRule type="expression" dxfId="41" priority="25">
      <formula>#REF!="odrzucenie"</formula>
    </cfRule>
    <cfRule type="expression" dxfId="40" priority="26">
      <formula>#REF!="rezygnacja"</formula>
    </cfRule>
  </conditionalFormatting>
  <conditionalFormatting sqref="D54:N54">
    <cfRule type="expression" dxfId="39" priority="15">
      <formula>$P54="odrzucenie"</formula>
    </cfRule>
    <cfRule type="expression" dxfId="38" priority="16">
      <formula>$P54="rezygnacja"</formula>
    </cfRule>
  </conditionalFormatting>
  <conditionalFormatting sqref="B54">
    <cfRule type="expression" dxfId="37" priority="19">
      <formula>$P52="odrzucenie"</formula>
    </cfRule>
    <cfRule type="expression" dxfId="36" priority="20">
      <formula>$P52="rezygnacja"</formula>
    </cfRule>
  </conditionalFormatting>
  <conditionalFormatting sqref="T54">
    <cfRule type="expression" dxfId="35" priority="13">
      <formula>$Q54="odrzucenie"</formula>
    </cfRule>
    <cfRule type="expression" dxfId="34" priority="14">
      <formula>$Q54="rezygnacja"</formula>
    </cfRule>
  </conditionalFormatting>
  <conditionalFormatting sqref="U54">
    <cfRule type="expression" dxfId="33" priority="17">
      <formula>#REF!="odrzucenie"</formula>
    </cfRule>
    <cfRule type="expression" dxfId="32" priority="18">
      <formula>#REF!="rezygnacja"</formula>
    </cfRule>
  </conditionalFormatting>
  <conditionalFormatting sqref="B55 D55:N55">
    <cfRule type="expression" dxfId="31" priority="9">
      <formula>$P55="odrzucenie"</formula>
    </cfRule>
    <cfRule type="expression" dxfId="30" priority="10">
      <formula>$P55="rezygnacja"</formula>
    </cfRule>
  </conditionalFormatting>
  <conditionalFormatting sqref="T55">
    <cfRule type="expression" dxfId="29" priority="7">
      <formula>$Q55="odrzucenie"</formula>
    </cfRule>
    <cfRule type="expression" dxfId="28" priority="8">
      <formula>$Q55="rezygnacja"</formula>
    </cfRule>
  </conditionalFormatting>
  <conditionalFormatting sqref="U55">
    <cfRule type="expression" dxfId="27" priority="11">
      <formula>#REF!="odrzucenie"</formula>
    </cfRule>
    <cfRule type="expression" dxfId="26" priority="12">
      <formula>#REF!="rezygnacja"</formula>
    </cfRule>
  </conditionalFormatting>
  <conditionalFormatting sqref="B56 D56:N56">
    <cfRule type="expression" dxfId="25" priority="3">
      <formula>$P56="odrzucenie"</formula>
    </cfRule>
    <cfRule type="expression" dxfId="24" priority="4">
      <formula>$P56="rezygnacja"</formula>
    </cfRule>
  </conditionalFormatting>
  <conditionalFormatting sqref="T56">
    <cfRule type="expression" dxfId="23" priority="1">
      <formula>$Q56="odrzucenie"</formula>
    </cfRule>
    <cfRule type="expression" dxfId="22" priority="2">
      <formula>$Q56="rezygnacja"</formula>
    </cfRule>
  </conditionalFormatting>
  <conditionalFormatting sqref="U56">
    <cfRule type="expression" dxfId="21" priority="5">
      <formula>#REF!="odrzucenie"</formula>
    </cfRule>
    <cfRule type="expression" dxfId="20" priority="6">
      <formula>#REF!="rezygnacja"</formula>
    </cfRule>
  </conditionalFormatting>
  <dataValidations count="3">
    <dataValidation type="list" allowBlank="1" showInputMessage="1" showErrorMessage="1" sqref="H3:H57">
      <formula1>"B,P,R"</formula1>
    </dataValidation>
    <dataValidation type="list" allowBlank="1" showInputMessage="1" showErrorMessage="1" sqref="C16:C57">
      <formula1>"N,W"</formula1>
    </dataValidation>
    <dataValidation type="list" allowBlank="1" showInputMessage="1" showErrorMessage="1" sqref="C3:C57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2" fitToHeight="0" orientation="landscape" r:id="rId1"/>
  <headerFooter>
    <oddHeader>&amp;LWojewództwo świętokrzyskie - zadania gminne lista podstawowa</oddHeader>
    <oddFooter>Strona &amp;P z &amp;N</oddFooter>
  </headerFooter>
  <ignoredErrors>
    <ignoredError sqref="O58:Z5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4"/>
  <sheetViews>
    <sheetView showGridLines="0" view="pageBreakPreview" zoomScaleNormal="78" zoomScaleSheetLayoutView="100" zoomScalePageLayoutView="90" workbookViewId="0">
      <selection sqref="A1:A2"/>
    </sheetView>
  </sheetViews>
  <sheetFormatPr defaultColWidth="9.140625" defaultRowHeight="15" x14ac:dyDescent="0.25"/>
  <cols>
    <col min="1" max="1" width="5.7109375" style="9" customWidth="1"/>
    <col min="2" max="2" width="13.7109375" style="9" customWidth="1"/>
    <col min="3" max="3" width="17.7109375" style="9" customWidth="1"/>
    <col min="4" max="4" width="15.7109375" style="9" customWidth="1"/>
    <col min="5" max="5" width="7.7109375" style="9" customWidth="1"/>
    <col min="6" max="6" width="53.7109375" style="9" customWidth="1"/>
    <col min="7" max="7" width="13.7109375" style="9" customWidth="1"/>
    <col min="8" max="9" width="14.7109375" style="9" customWidth="1"/>
    <col min="10" max="12" width="15.7109375" style="9" customWidth="1"/>
    <col min="13" max="13" width="15.7109375" style="1" customWidth="1"/>
    <col min="14" max="20" width="11.7109375" style="9" customWidth="1"/>
    <col min="21" max="22" width="13.7109375" style="9" customWidth="1"/>
    <col min="23" max="25" width="11.7109375" style="9" customWidth="1"/>
    <col min="26" max="29" width="15.7109375" style="9" customWidth="1"/>
    <col min="30" max="16384" width="9.140625" style="9"/>
  </cols>
  <sheetData>
    <row r="1" spans="1:30" ht="18" customHeight="1" x14ac:dyDescent="0.25">
      <c r="A1" s="337" t="s">
        <v>4</v>
      </c>
      <c r="B1" s="337" t="s">
        <v>5</v>
      </c>
      <c r="C1" s="344" t="s">
        <v>44</v>
      </c>
      <c r="D1" s="340" t="s">
        <v>6</v>
      </c>
      <c r="E1" s="344" t="s">
        <v>31</v>
      </c>
      <c r="F1" s="340" t="s">
        <v>7</v>
      </c>
      <c r="G1" s="337" t="s">
        <v>25</v>
      </c>
      <c r="H1" s="337" t="s">
        <v>8</v>
      </c>
      <c r="I1" s="337" t="s">
        <v>22</v>
      </c>
      <c r="J1" s="337" t="s">
        <v>9</v>
      </c>
      <c r="K1" s="337" t="s">
        <v>10</v>
      </c>
      <c r="L1" s="340" t="s">
        <v>13</v>
      </c>
      <c r="M1" s="337" t="s">
        <v>11</v>
      </c>
      <c r="N1" s="345" t="s">
        <v>12</v>
      </c>
      <c r="O1" s="346"/>
      <c r="P1" s="346"/>
      <c r="Q1" s="346"/>
      <c r="R1" s="346"/>
      <c r="S1" s="346"/>
      <c r="T1" s="346"/>
      <c r="U1" s="346"/>
      <c r="V1" s="346"/>
      <c r="W1" s="346"/>
      <c r="X1" s="346"/>
      <c r="Y1" s="346"/>
    </row>
    <row r="2" spans="1:30" ht="18" customHeight="1" x14ac:dyDescent="0.25">
      <c r="A2" s="337"/>
      <c r="B2" s="337"/>
      <c r="C2" s="345"/>
      <c r="D2" s="341"/>
      <c r="E2" s="345"/>
      <c r="F2" s="341"/>
      <c r="G2" s="337"/>
      <c r="H2" s="337"/>
      <c r="I2" s="337"/>
      <c r="J2" s="337"/>
      <c r="K2" s="337"/>
      <c r="L2" s="341"/>
      <c r="M2" s="337"/>
      <c r="N2" s="150">
        <v>2019</v>
      </c>
      <c r="O2" s="150">
        <v>2020</v>
      </c>
      <c r="P2" s="150">
        <v>2021</v>
      </c>
      <c r="Q2" s="150">
        <v>2022</v>
      </c>
      <c r="R2" s="150">
        <v>2023</v>
      </c>
      <c r="S2" s="150">
        <v>2024</v>
      </c>
      <c r="T2" s="150">
        <v>2025</v>
      </c>
      <c r="U2" s="150">
        <v>2026</v>
      </c>
      <c r="V2" s="150">
        <v>2027</v>
      </c>
      <c r="W2" s="150">
        <v>2028</v>
      </c>
      <c r="X2" s="150">
        <v>2029</v>
      </c>
      <c r="Y2" s="150">
        <v>2030</v>
      </c>
      <c r="Z2" s="1" t="s">
        <v>27</v>
      </c>
      <c r="AA2" s="1" t="s">
        <v>28</v>
      </c>
      <c r="AB2" s="1" t="s">
        <v>29</v>
      </c>
      <c r="AC2" s="1" t="s">
        <v>30</v>
      </c>
    </row>
    <row r="3" spans="1:30" s="25" customFormat="1" ht="24" x14ac:dyDescent="0.25">
      <c r="A3" s="141">
        <v>1</v>
      </c>
      <c r="B3" s="237" t="s">
        <v>128</v>
      </c>
      <c r="C3" s="177" t="s">
        <v>121</v>
      </c>
      <c r="D3" s="180" t="s">
        <v>57</v>
      </c>
      <c r="E3" s="214">
        <v>2607</v>
      </c>
      <c r="F3" s="238" t="s">
        <v>129</v>
      </c>
      <c r="G3" s="141" t="s">
        <v>130</v>
      </c>
      <c r="H3" s="186">
        <v>1.042</v>
      </c>
      <c r="I3" s="183" t="s">
        <v>124</v>
      </c>
      <c r="J3" s="196">
        <v>7730783.46</v>
      </c>
      <c r="K3" s="196">
        <v>4638470</v>
      </c>
      <c r="L3" s="196">
        <v>3092313.46</v>
      </c>
      <c r="M3" s="215">
        <v>0.6</v>
      </c>
      <c r="N3" s="193">
        <v>0</v>
      </c>
      <c r="O3" s="193">
        <v>0</v>
      </c>
      <c r="P3" s="209">
        <v>0</v>
      </c>
      <c r="Q3" s="209">
        <v>0</v>
      </c>
      <c r="R3" s="209">
        <v>0</v>
      </c>
      <c r="S3" s="213">
        <v>0</v>
      </c>
      <c r="T3" s="213">
        <v>0</v>
      </c>
      <c r="U3" s="213">
        <v>4638470</v>
      </c>
      <c r="V3" s="33"/>
      <c r="W3" s="33"/>
      <c r="X3" s="33"/>
      <c r="Y3" s="289"/>
      <c r="Z3" s="262" t="b">
        <f t="shared" ref="Z3" si="0">K3=SUM(N3:Y3)</f>
        <v>1</v>
      </c>
      <c r="AA3" s="263">
        <f t="shared" ref="AA3" si="1">ROUND(K3/J3,4)</f>
        <v>0.6</v>
      </c>
      <c r="AB3" s="264" t="b">
        <f t="shared" ref="AB3" si="2">AA3=M3</f>
        <v>1</v>
      </c>
      <c r="AC3" s="264" t="b">
        <f t="shared" ref="AC3:AC9" si="3">J18=K18+L18</f>
        <v>1</v>
      </c>
      <c r="AD3" s="26"/>
    </row>
    <row r="4" spans="1:30" s="25" customFormat="1" ht="36" customHeight="1" x14ac:dyDescent="0.25">
      <c r="A4" s="141">
        <v>2</v>
      </c>
      <c r="B4" s="237" t="s">
        <v>138</v>
      </c>
      <c r="C4" s="177" t="s">
        <v>121</v>
      </c>
      <c r="D4" s="180" t="s">
        <v>479</v>
      </c>
      <c r="E4" s="214">
        <v>2603</v>
      </c>
      <c r="F4" s="238" t="s">
        <v>139</v>
      </c>
      <c r="G4" s="141" t="s">
        <v>50</v>
      </c>
      <c r="H4" s="186">
        <v>0.995</v>
      </c>
      <c r="I4" s="183" t="s">
        <v>120</v>
      </c>
      <c r="J4" s="196">
        <v>2720351.6</v>
      </c>
      <c r="K4" s="196">
        <v>1632210</v>
      </c>
      <c r="L4" s="196">
        <v>1088141.6000000001</v>
      </c>
      <c r="M4" s="215">
        <v>0.6</v>
      </c>
      <c r="N4" s="193">
        <v>0</v>
      </c>
      <c r="O4" s="193">
        <v>0</v>
      </c>
      <c r="P4" s="209">
        <v>0</v>
      </c>
      <c r="Q4" s="209">
        <v>0</v>
      </c>
      <c r="R4" s="209">
        <v>0</v>
      </c>
      <c r="S4" s="213">
        <v>0</v>
      </c>
      <c r="T4" s="213">
        <v>0</v>
      </c>
      <c r="U4" s="213">
        <v>1632210</v>
      </c>
      <c r="V4" s="213"/>
      <c r="W4" s="33"/>
      <c r="X4" s="33"/>
      <c r="Y4" s="289"/>
      <c r="Z4" s="262" t="b">
        <f t="shared" ref="Z4:Z15" si="4">K4=SUM(N4:Y4)</f>
        <v>1</v>
      </c>
      <c r="AA4" s="263">
        <f t="shared" ref="AA4:AA15" si="5">ROUND(K4/J4,4)</f>
        <v>0.6</v>
      </c>
      <c r="AB4" s="264" t="b">
        <f t="shared" ref="AB4:AB15" si="6">AA4=M4</f>
        <v>1</v>
      </c>
      <c r="AC4" s="264" t="b">
        <f t="shared" si="3"/>
        <v>1</v>
      </c>
      <c r="AD4" s="26"/>
    </row>
    <row r="5" spans="1:30" s="25" customFormat="1" ht="36" x14ac:dyDescent="0.25">
      <c r="A5" s="141">
        <v>3</v>
      </c>
      <c r="B5" s="237" t="s">
        <v>140</v>
      </c>
      <c r="C5" s="177" t="s">
        <v>121</v>
      </c>
      <c r="D5" s="180" t="s">
        <v>479</v>
      </c>
      <c r="E5" s="214">
        <v>2603</v>
      </c>
      <c r="F5" s="238" t="s">
        <v>141</v>
      </c>
      <c r="G5" s="141" t="s">
        <v>50</v>
      </c>
      <c r="H5" s="186">
        <v>0.90500000000000003</v>
      </c>
      <c r="I5" s="183" t="s">
        <v>120</v>
      </c>
      <c r="J5" s="196">
        <v>1687556.41</v>
      </c>
      <c r="K5" s="196">
        <v>1012533</v>
      </c>
      <c r="L5" s="196">
        <v>675023.41</v>
      </c>
      <c r="M5" s="215">
        <v>0.6</v>
      </c>
      <c r="N5" s="193">
        <v>0</v>
      </c>
      <c r="O5" s="193">
        <v>0</v>
      </c>
      <c r="P5" s="209">
        <v>0</v>
      </c>
      <c r="Q5" s="209">
        <v>0</v>
      </c>
      <c r="R5" s="209">
        <v>0</v>
      </c>
      <c r="S5" s="213">
        <v>0</v>
      </c>
      <c r="T5" s="213">
        <v>0</v>
      </c>
      <c r="U5" s="213">
        <v>1012533</v>
      </c>
      <c r="V5" s="213"/>
      <c r="W5" s="33"/>
      <c r="X5" s="33"/>
      <c r="Y5" s="289"/>
      <c r="Z5" s="262" t="b">
        <f t="shared" si="4"/>
        <v>1</v>
      </c>
      <c r="AA5" s="263">
        <f t="shared" si="5"/>
        <v>0.6</v>
      </c>
      <c r="AB5" s="264" t="b">
        <f t="shared" si="6"/>
        <v>1</v>
      </c>
      <c r="AC5" s="264" t="b">
        <f t="shared" si="3"/>
        <v>1</v>
      </c>
      <c r="AD5" s="26"/>
    </row>
    <row r="6" spans="1:30" s="282" customFormat="1" ht="24" x14ac:dyDescent="0.25">
      <c r="A6" s="143">
        <v>4</v>
      </c>
      <c r="B6" s="251" t="s">
        <v>255</v>
      </c>
      <c r="C6" s="142" t="s">
        <v>85</v>
      </c>
      <c r="D6" s="181" t="s">
        <v>481</v>
      </c>
      <c r="E6" s="217">
        <v>2605</v>
      </c>
      <c r="F6" s="239" t="s">
        <v>256</v>
      </c>
      <c r="G6" s="143" t="s">
        <v>50</v>
      </c>
      <c r="H6" s="187">
        <v>8.3710000000000004</v>
      </c>
      <c r="I6" s="185" t="s">
        <v>133</v>
      </c>
      <c r="J6" s="197">
        <v>21006216.170000002</v>
      </c>
      <c r="K6" s="197">
        <v>14704351</v>
      </c>
      <c r="L6" s="197">
        <v>6301865.1699999999</v>
      </c>
      <c r="M6" s="218">
        <v>0.7</v>
      </c>
      <c r="N6" s="147">
        <v>0</v>
      </c>
      <c r="O6" s="147">
        <v>0</v>
      </c>
      <c r="P6" s="148">
        <v>0</v>
      </c>
      <c r="Q6" s="148">
        <v>0</v>
      </c>
      <c r="R6" s="148">
        <v>0</v>
      </c>
      <c r="S6" s="198">
        <v>0</v>
      </c>
      <c r="T6" s="198">
        <v>0</v>
      </c>
      <c r="U6" s="198">
        <v>7000000</v>
      </c>
      <c r="V6" s="198">
        <v>7704351</v>
      </c>
      <c r="W6" s="280"/>
      <c r="X6" s="280"/>
      <c r="Y6" s="290"/>
      <c r="Z6" s="262" t="b">
        <f t="shared" si="4"/>
        <v>1</v>
      </c>
      <c r="AA6" s="263">
        <f t="shared" si="5"/>
        <v>0.7</v>
      </c>
      <c r="AB6" s="264" t="b">
        <f t="shared" si="6"/>
        <v>1</v>
      </c>
      <c r="AC6" s="264" t="b">
        <f t="shared" si="3"/>
        <v>1</v>
      </c>
      <c r="AD6" s="281"/>
    </row>
    <row r="7" spans="1:30" s="25" customFormat="1" ht="36" x14ac:dyDescent="0.25">
      <c r="A7" s="141">
        <v>5</v>
      </c>
      <c r="B7" s="237" t="s">
        <v>257</v>
      </c>
      <c r="C7" s="177" t="s">
        <v>121</v>
      </c>
      <c r="D7" s="180" t="s">
        <v>484</v>
      </c>
      <c r="E7" s="214">
        <v>2601</v>
      </c>
      <c r="F7" s="238" t="s">
        <v>258</v>
      </c>
      <c r="G7" s="141" t="s">
        <v>50</v>
      </c>
      <c r="H7" s="186">
        <v>1.7809999999999999</v>
      </c>
      <c r="I7" s="183" t="s">
        <v>120</v>
      </c>
      <c r="J7" s="196">
        <v>8324047.1600000001</v>
      </c>
      <c r="K7" s="196">
        <v>4994428</v>
      </c>
      <c r="L7" s="196">
        <v>3329619.16</v>
      </c>
      <c r="M7" s="215">
        <v>0.6</v>
      </c>
      <c r="N7" s="193">
        <v>0</v>
      </c>
      <c r="O7" s="193">
        <v>0</v>
      </c>
      <c r="P7" s="209">
        <v>0</v>
      </c>
      <c r="Q7" s="209">
        <v>0</v>
      </c>
      <c r="R7" s="209">
        <v>0</v>
      </c>
      <c r="S7" s="213">
        <v>0</v>
      </c>
      <c r="T7" s="213">
        <v>0</v>
      </c>
      <c r="U7" s="213">
        <v>4994428</v>
      </c>
      <c r="V7" s="213"/>
      <c r="W7" s="33"/>
      <c r="X7" s="33"/>
      <c r="Y7" s="289"/>
      <c r="Z7" s="262" t="b">
        <f t="shared" si="4"/>
        <v>1</v>
      </c>
      <c r="AA7" s="263">
        <f t="shared" si="5"/>
        <v>0.6</v>
      </c>
      <c r="AB7" s="264" t="b">
        <f t="shared" si="6"/>
        <v>1</v>
      </c>
      <c r="AC7" s="264" t="b">
        <f t="shared" si="3"/>
        <v>1</v>
      </c>
      <c r="AD7" s="26"/>
    </row>
    <row r="8" spans="1:30" s="25" customFormat="1" ht="24" x14ac:dyDescent="0.25">
      <c r="A8" s="141">
        <v>6</v>
      </c>
      <c r="B8" s="237" t="s">
        <v>259</v>
      </c>
      <c r="C8" s="177" t="s">
        <v>121</v>
      </c>
      <c r="D8" s="180" t="s">
        <v>482</v>
      </c>
      <c r="E8" s="214">
        <v>2613</v>
      </c>
      <c r="F8" s="238" t="s">
        <v>260</v>
      </c>
      <c r="G8" s="141" t="s">
        <v>49</v>
      </c>
      <c r="H8" s="186">
        <v>1.292</v>
      </c>
      <c r="I8" s="183" t="s">
        <v>124</v>
      </c>
      <c r="J8" s="196">
        <v>10127049.380000001</v>
      </c>
      <c r="K8" s="196">
        <v>6076229</v>
      </c>
      <c r="L8" s="196">
        <v>4050820.38</v>
      </c>
      <c r="M8" s="215">
        <v>0.6</v>
      </c>
      <c r="N8" s="193">
        <v>0</v>
      </c>
      <c r="O8" s="193">
        <v>0</v>
      </c>
      <c r="P8" s="209">
        <v>0</v>
      </c>
      <c r="Q8" s="209">
        <v>0</v>
      </c>
      <c r="R8" s="209">
        <v>0</v>
      </c>
      <c r="S8" s="213">
        <v>0</v>
      </c>
      <c r="T8" s="213">
        <v>0</v>
      </c>
      <c r="U8" s="213">
        <v>6076229</v>
      </c>
      <c r="V8" s="213"/>
      <c r="W8" s="33"/>
      <c r="X8" s="33"/>
      <c r="Y8" s="289"/>
      <c r="Z8" s="262" t="b">
        <f t="shared" si="4"/>
        <v>1</v>
      </c>
      <c r="AA8" s="263">
        <f t="shared" si="5"/>
        <v>0.6</v>
      </c>
      <c r="AB8" s="264" t="b">
        <f t="shared" si="6"/>
        <v>1</v>
      </c>
      <c r="AC8" s="264" t="b">
        <f t="shared" si="3"/>
        <v>1</v>
      </c>
      <c r="AD8" s="26"/>
    </row>
    <row r="9" spans="1:30" s="25" customFormat="1" x14ac:dyDescent="0.25">
      <c r="A9" s="141">
        <v>7</v>
      </c>
      <c r="B9" s="237" t="s">
        <v>261</v>
      </c>
      <c r="C9" s="177" t="s">
        <v>121</v>
      </c>
      <c r="D9" s="180" t="s">
        <v>481</v>
      </c>
      <c r="E9" s="214">
        <v>2605</v>
      </c>
      <c r="F9" s="238" t="s">
        <v>262</v>
      </c>
      <c r="G9" s="141" t="s">
        <v>49</v>
      </c>
      <c r="H9" s="186">
        <v>1.2090000000000001</v>
      </c>
      <c r="I9" s="183" t="s">
        <v>120</v>
      </c>
      <c r="J9" s="196">
        <v>4042724.35</v>
      </c>
      <c r="K9" s="196">
        <v>2829907</v>
      </c>
      <c r="L9" s="196">
        <v>1212817.3500000001</v>
      </c>
      <c r="M9" s="215">
        <v>0.7</v>
      </c>
      <c r="N9" s="193">
        <v>0</v>
      </c>
      <c r="O9" s="193">
        <v>0</v>
      </c>
      <c r="P9" s="209">
        <v>0</v>
      </c>
      <c r="Q9" s="209">
        <v>0</v>
      </c>
      <c r="R9" s="209">
        <v>0</v>
      </c>
      <c r="S9" s="213">
        <v>0</v>
      </c>
      <c r="T9" s="213">
        <v>0</v>
      </c>
      <c r="U9" s="213">
        <v>2829907</v>
      </c>
      <c r="V9" s="33"/>
      <c r="W9" s="33"/>
      <c r="X9" s="33"/>
      <c r="Y9" s="289"/>
      <c r="Z9" s="262" t="b">
        <f t="shared" si="4"/>
        <v>1</v>
      </c>
      <c r="AA9" s="263">
        <f t="shared" si="5"/>
        <v>0.7</v>
      </c>
      <c r="AB9" s="264" t="b">
        <f t="shared" si="6"/>
        <v>1</v>
      </c>
      <c r="AC9" s="264" t="b">
        <f t="shared" si="3"/>
        <v>1</v>
      </c>
      <c r="AD9" s="26"/>
    </row>
    <row r="10" spans="1:30" s="25" customFormat="1" ht="24" x14ac:dyDescent="0.25">
      <c r="A10" s="141">
        <v>8</v>
      </c>
      <c r="B10" s="237" t="s">
        <v>268</v>
      </c>
      <c r="C10" s="177" t="s">
        <v>121</v>
      </c>
      <c r="D10" s="180" t="s">
        <v>485</v>
      </c>
      <c r="E10" s="214">
        <v>2608</v>
      </c>
      <c r="F10" s="238" t="s">
        <v>269</v>
      </c>
      <c r="G10" s="141" t="s">
        <v>130</v>
      </c>
      <c r="H10" s="186">
        <v>2.02</v>
      </c>
      <c r="I10" s="183" t="s">
        <v>120</v>
      </c>
      <c r="J10" s="196">
        <v>1744161.72</v>
      </c>
      <c r="K10" s="196">
        <v>1046497</v>
      </c>
      <c r="L10" s="196">
        <v>697664.72</v>
      </c>
      <c r="M10" s="215">
        <v>0.6</v>
      </c>
      <c r="N10" s="193">
        <v>0</v>
      </c>
      <c r="O10" s="193">
        <v>0</v>
      </c>
      <c r="P10" s="209">
        <v>0</v>
      </c>
      <c r="Q10" s="209">
        <v>0</v>
      </c>
      <c r="R10" s="209">
        <v>0</v>
      </c>
      <c r="S10" s="213">
        <v>0</v>
      </c>
      <c r="T10" s="213">
        <v>0</v>
      </c>
      <c r="U10" s="213">
        <v>1046497</v>
      </c>
      <c r="V10" s="33"/>
      <c r="W10" s="33"/>
      <c r="X10" s="33"/>
      <c r="Y10" s="289"/>
      <c r="Z10" s="262" t="b">
        <f t="shared" si="4"/>
        <v>1</v>
      </c>
      <c r="AA10" s="263">
        <f t="shared" si="5"/>
        <v>0.6</v>
      </c>
      <c r="AB10" s="264" t="b">
        <f t="shared" si="6"/>
        <v>1</v>
      </c>
      <c r="AC10" s="264" t="b">
        <f>J26=K26+L26</f>
        <v>1</v>
      </c>
      <c r="AD10" s="26"/>
    </row>
    <row r="11" spans="1:30" s="25" customFormat="1" ht="33.75" customHeight="1" x14ac:dyDescent="0.25">
      <c r="A11" s="141">
        <v>9</v>
      </c>
      <c r="B11" s="237" t="s">
        <v>270</v>
      </c>
      <c r="C11" s="177" t="s">
        <v>121</v>
      </c>
      <c r="D11" s="180" t="s">
        <v>484</v>
      </c>
      <c r="E11" s="214">
        <v>2601</v>
      </c>
      <c r="F11" s="238" t="s">
        <v>271</v>
      </c>
      <c r="G11" s="141" t="s">
        <v>50</v>
      </c>
      <c r="H11" s="186">
        <v>1.87</v>
      </c>
      <c r="I11" s="183" t="s">
        <v>120</v>
      </c>
      <c r="J11" s="196">
        <v>5719264.0700000003</v>
      </c>
      <c r="K11" s="196">
        <v>3431558</v>
      </c>
      <c r="L11" s="196">
        <v>2287706.0699999998</v>
      </c>
      <c r="M11" s="215">
        <v>0.6</v>
      </c>
      <c r="N11" s="193">
        <v>0</v>
      </c>
      <c r="O11" s="193">
        <v>0</v>
      </c>
      <c r="P11" s="209">
        <v>0</v>
      </c>
      <c r="Q11" s="209">
        <v>0</v>
      </c>
      <c r="R11" s="209">
        <v>0</v>
      </c>
      <c r="S11" s="213">
        <v>0</v>
      </c>
      <c r="T11" s="213">
        <v>0</v>
      </c>
      <c r="U11" s="213">
        <v>3431558</v>
      </c>
      <c r="V11" s="33"/>
      <c r="W11" s="33"/>
      <c r="X11" s="33"/>
      <c r="Y11" s="289"/>
      <c r="Z11" s="262" t="b">
        <f t="shared" si="4"/>
        <v>1</v>
      </c>
      <c r="AA11" s="263">
        <f t="shared" si="5"/>
        <v>0.6</v>
      </c>
      <c r="AB11" s="264" t="b">
        <f t="shared" si="6"/>
        <v>1</v>
      </c>
      <c r="AC11" s="264" t="b">
        <f>J27=K27+L27</f>
        <v>1</v>
      </c>
      <c r="AD11" s="26"/>
    </row>
    <row r="12" spans="1:30" s="25" customFormat="1" ht="24" x14ac:dyDescent="0.25">
      <c r="A12" s="141">
        <v>10</v>
      </c>
      <c r="B12" s="237" t="s">
        <v>276</v>
      </c>
      <c r="C12" s="177" t="s">
        <v>121</v>
      </c>
      <c r="D12" s="180" t="s">
        <v>478</v>
      </c>
      <c r="E12" s="214">
        <v>2612</v>
      </c>
      <c r="F12" s="238" t="s">
        <v>277</v>
      </c>
      <c r="G12" s="141" t="s">
        <v>50</v>
      </c>
      <c r="H12" s="186">
        <v>0.998</v>
      </c>
      <c r="I12" s="183" t="s">
        <v>242</v>
      </c>
      <c r="J12" s="196">
        <v>2936727.6</v>
      </c>
      <c r="K12" s="196">
        <v>1762036</v>
      </c>
      <c r="L12" s="196">
        <v>1174691.6000000001</v>
      </c>
      <c r="M12" s="215">
        <v>0.6</v>
      </c>
      <c r="N12" s="193">
        <v>0</v>
      </c>
      <c r="O12" s="193">
        <v>0</v>
      </c>
      <c r="P12" s="209">
        <v>0</v>
      </c>
      <c r="Q12" s="209">
        <v>0</v>
      </c>
      <c r="R12" s="209">
        <v>0</v>
      </c>
      <c r="S12" s="213">
        <v>0</v>
      </c>
      <c r="T12" s="213">
        <v>0</v>
      </c>
      <c r="U12" s="213">
        <v>1762036</v>
      </c>
      <c r="V12" s="33"/>
      <c r="W12" s="33"/>
      <c r="X12" s="33"/>
      <c r="Y12" s="289"/>
      <c r="Z12" s="262" t="b">
        <f t="shared" si="4"/>
        <v>1</v>
      </c>
      <c r="AA12" s="263">
        <f t="shared" si="5"/>
        <v>0.6</v>
      </c>
      <c r="AB12" s="264" t="b">
        <f t="shared" si="6"/>
        <v>1</v>
      </c>
      <c r="AC12" s="264" t="b">
        <f>J28=K28+L28</f>
        <v>1</v>
      </c>
      <c r="AD12" s="26"/>
    </row>
    <row r="13" spans="1:30" s="25" customFormat="1" ht="36" customHeight="1" x14ac:dyDescent="0.25">
      <c r="A13" s="141">
        <v>11</v>
      </c>
      <c r="B13" s="237" t="s">
        <v>278</v>
      </c>
      <c r="C13" s="177" t="s">
        <v>121</v>
      </c>
      <c r="D13" s="180" t="s">
        <v>482</v>
      </c>
      <c r="E13" s="214">
        <v>2613</v>
      </c>
      <c r="F13" s="238" t="s">
        <v>506</v>
      </c>
      <c r="G13" s="141" t="s">
        <v>50</v>
      </c>
      <c r="H13" s="186">
        <v>2.1139999999999999</v>
      </c>
      <c r="I13" s="183" t="s">
        <v>124</v>
      </c>
      <c r="J13" s="196">
        <v>2682744.2599999998</v>
      </c>
      <c r="K13" s="196">
        <v>1609646</v>
      </c>
      <c r="L13" s="196">
        <v>1073098.26</v>
      </c>
      <c r="M13" s="215">
        <v>0.6</v>
      </c>
      <c r="N13" s="193">
        <v>0</v>
      </c>
      <c r="O13" s="193">
        <v>0</v>
      </c>
      <c r="P13" s="209">
        <v>0</v>
      </c>
      <c r="Q13" s="209">
        <v>0</v>
      </c>
      <c r="R13" s="209">
        <v>0</v>
      </c>
      <c r="S13" s="213">
        <v>0</v>
      </c>
      <c r="T13" s="213">
        <v>0</v>
      </c>
      <c r="U13" s="213">
        <v>1609646</v>
      </c>
      <c r="V13" s="33"/>
      <c r="W13" s="33"/>
      <c r="X13" s="33"/>
      <c r="Y13" s="289"/>
      <c r="Z13" s="262" t="b">
        <f t="shared" si="4"/>
        <v>1</v>
      </c>
      <c r="AA13" s="263">
        <f t="shared" si="5"/>
        <v>0.6</v>
      </c>
      <c r="AB13" s="264" t="b">
        <f t="shared" si="6"/>
        <v>1</v>
      </c>
      <c r="AC13" s="264" t="b">
        <f>J29=K29+L29</f>
        <v>1</v>
      </c>
      <c r="AD13" s="26"/>
    </row>
    <row r="14" spans="1:30" s="25" customFormat="1" ht="24" x14ac:dyDescent="0.25">
      <c r="A14" s="141">
        <v>12</v>
      </c>
      <c r="B14" s="237" t="s">
        <v>281</v>
      </c>
      <c r="C14" s="177" t="s">
        <v>121</v>
      </c>
      <c r="D14" s="180" t="s">
        <v>48</v>
      </c>
      <c r="E14" s="214">
        <v>2604</v>
      </c>
      <c r="F14" s="238" t="s">
        <v>282</v>
      </c>
      <c r="G14" s="141" t="s">
        <v>49</v>
      </c>
      <c r="H14" s="186">
        <v>0.81499999999999995</v>
      </c>
      <c r="I14" s="183" t="s">
        <v>283</v>
      </c>
      <c r="J14" s="196">
        <v>2600000</v>
      </c>
      <c r="K14" s="196">
        <v>1820000</v>
      </c>
      <c r="L14" s="196">
        <v>780000</v>
      </c>
      <c r="M14" s="215">
        <v>0.7</v>
      </c>
      <c r="N14" s="193">
        <v>0</v>
      </c>
      <c r="O14" s="193">
        <v>0</v>
      </c>
      <c r="P14" s="209">
        <v>0</v>
      </c>
      <c r="Q14" s="209">
        <v>0</v>
      </c>
      <c r="R14" s="209">
        <v>0</v>
      </c>
      <c r="S14" s="213">
        <v>0</v>
      </c>
      <c r="T14" s="213">
        <v>0</v>
      </c>
      <c r="U14" s="213">
        <v>1820000</v>
      </c>
      <c r="V14" s="33"/>
      <c r="W14" s="33"/>
      <c r="X14" s="33"/>
      <c r="Y14" s="289"/>
      <c r="Z14" s="262" t="b">
        <f t="shared" si="4"/>
        <v>1</v>
      </c>
      <c r="AA14" s="263">
        <f t="shared" si="5"/>
        <v>0.7</v>
      </c>
      <c r="AB14" s="264" t="b">
        <f t="shared" si="6"/>
        <v>1</v>
      </c>
      <c r="AC14" s="264" t="b">
        <f t="shared" ref="AC14:AC15" si="7">J31=K31+L31</f>
        <v>1</v>
      </c>
      <c r="AD14" s="26"/>
    </row>
    <row r="15" spans="1:30" s="25" customFormat="1" ht="24" x14ac:dyDescent="0.25">
      <c r="A15" s="253" t="s">
        <v>511</v>
      </c>
      <c r="B15" s="254" t="s">
        <v>475</v>
      </c>
      <c r="C15" s="201" t="s">
        <v>85</v>
      </c>
      <c r="D15" s="202" t="s">
        <v>58</v>
      </c>
      <c r="E15" s="255">
        <v>2610</v>
      </c>
      <c r="F15" s="259" t="s">
        <v>476</v>
      </c>
      <c r="G15" s="253" t="s">
        <v>49</v>
      </c>
      <c r="H15" s="245">
        <v>1.7849999999999999</v>
      </c>
      <c r="I15" s="203" t="s">
        <v>265</v>
      </c>
      <c r="J15" s="204">
        <v>14320568.359999999</v>
      </c>
      <c r="K15" s="204">
        <f>13447.62+3592341</f>
        <v>3605788.62</v>
      </c>
      <c r="L15" s="204">
        <f>J15-K15</f>
        <v>10714779.739999998</v>
      </c>
      <c r="M15" s="256">
        <v>0.6</v>
      </c>
      <c r="N15" s="207">
        <v>0</v>
      </c>
      <c r="O15" s="207">
        <v>0</v>
      </c>
      <c r="P15" s="257">
        <v>0</v>
      </c>
      <c r="Q15" s="257">
        <v>0</v>
      </c>
      <c r="R15" s="257">
        <v>0</v>
      </c>
      <c r="S15" s="247">
        <v>0</v>
      </c>
      <c r="T15" s="247">
        <v>0</v>
      </c>
      <c r="U15" s="247">
        <f>5000000-4986552.38</f>
        <v>13447.620000000112</v>
      </c>
      <c r="V15" s="247">
        <v>3592341</v>
      </c>
      <c r="W15" s="279"/>
      <c r="X15" s="279"/>
      <c r="Y15" s="291"/>
      <c r="Z15" s="262" t="b">
        <f t="shared" si="4"/>
        <v>1</v>
      </c>
      <c r="AA15" s="263">
        <f t="shared" si="5"/>
        <v>0.25180000000000002</v>
      </c>
      <c r="AB15" s="264" t="b">
        <f t="shared" si="6"/>
        <v>0</v>
      </c>
      <c r="AC15" s="264" t="b">
        <f t="shared" si="7"/>
        <v>1</v>
      </c>
      <c r="AD15" s="26"/>
    </row>
    <row r="16" spans="1:30" x14ac:dyDescent="0.25">
      <c r="A16" s="337" t="s">
        <v>43</v>
      </c>
      <c r="B16" s="337"/>
      <c r="C16" s="337"/>
      <c r="D16" s="337"/>
      <c r="E16" s="337"/>
      <c r="F16" s="337"/>
      <c r="G16" s="337"/>
      <c r="H16" s="152">
        <f>SUM(H3:H15)</f>
        <v>25.197000000000006</v>
      </c>
      <c r="I16" s="153" t="s">
        <v>14</v>
      </c>
      <c r="J16" s="154">
        <f>SUM(J3:J15)</f>
        <v>85642194.540000007</v>
      </c>
      <c r="K16" s="154">
        <f>SUM(K3:K15)</f>
        <v>49163653.619999997</v>
      </c>
      <c r="L16" s="154">
        <f>SUM(L3:L15)</f>
        <v>36478540.920000002</v>
      </c>
      <c r="M16" s="155" t="s">
        <v>14</v>
      </c>
      <c r="N16" s="156">
        <f t="shared" ref="N16:Y16" si="8">SUM(N3:N15)</f>
        <v>0</v>
      </c>
      <c r="O16" s="156">
        <f t="shared" si="8"/>
        <v>0</v>
      </c>
      <c r="P16" s="156">
        <f t="shared" si="8"/>
        <v>0</v>
      </c>
      <c r="Q16" s="156">
        <f t="shared" si="8"/>
        <v>0</v>
      </c>
      <c r="R16" s="156">
        <f t="shared" si="8"/>
        <v>0</v>
      </c>
      <c r="S16" s="156">
        <f t="shared" si="8"/>
        <v>0</v>
      </c>
      <c r="T16" s="156">
        <f t="shared" si="8"/>
        <v>0</v>
      </c>
      <c r="U16" s="156">
        <f t="shared" si="8"/>
        <v>37866961.619999997</v>
      </c>
      <c r="V16" s="156">
        <f t="shared" si="8"/>
        <v>11296692</v>
      </c>
      <c r="W16" s="156">
        <f t="shared" si="8"/>
        <v>0</v>
      </c>
      <c r="X16" s="156">
        <f t="shared" si="8"/>
        <v>0</v>
      </c>
      <c r="Y16" s="156">
        <f t="shared" si="8"/>
        <v>0</v>
      </c>
      <c r="Z16" s="1" t="b">
        <f t="shared" ref="Z16:Z18" si="9">K16=SUM(N16:Y16)</f>
        <v>1</v>
      </c>
      <c r="AA16" s="23">
        <f t="shared" ref="AA16" si="10">ROUND(K16/J16,4)</f>
        <v>0.57410000000000005</v>
      </c>
      <c r="AB16" s="24" t="s">
        <v>14</v>
      </c>
      <c r="AC16" s="24" t="b">
        <f t="shared" ref="AC16" si="11">J16=K16+L16</f>
        <v>1</v>
      </c>
      <c r="AD16" s="13"/>
    </row>
    <row r="17" spans="1:30" x14ac:dyDescent="0.25">
      <c r="A17" s="337" t="s">
        <v>37</v>
      </c>
      <c r="B17" s="337"/>
      <c r="C17" s="337"/>
      <c r="D17" s="337"/>
      <c r="E17" s="337"/>
      <c r="F17" s="337"/>
      <c r="G17" s="337"/>
      <c r="H17" s="152">
        <f>SUMIF($C$3:$C$15,"N",H3:H15)</f>
        <v>15.040999999999999</v>
      </c>
      <c r="I17" s="153" t="s">
        <v>14</v>
      </c>
      <c r="J17" s="154">
        <f>SUMIF($C$3:$C$15,"N",J3:J15)</f>
        <v>50315410.010000005</v>
      </c>
      <c r="K17" s="154">
        <f>SUMIF($C$3:$C$15,"N",K3:K15)</f>
        <v>30853514</v>
      </c>
      <c r="L17" s="154">
        <f>SUMIF($C$3:$C$15,"N",L3:L15)</f>
        <v>19461896.010000002</v>
      </c>
      <c r="M17" s="155" t="s">
        <v>14</v>
      </c>
      <c r="N17" s="156">
        <f t="shared" ref="N17:Y17" si="12">SUMIF($C$3:$C$15,"N",N3:N15)</f>
        <v>0</v>
      </c>
      <c r="O17" s="156">
        <f t="shared" si="12"/>
        <v>0</v>
      </c>
      <c r="P17" s="156">
        <f t="shared" si="12"/>
        <v>0</v>
      </c>
      <c r="Q17" s="156">
        <f t="shared" si="12"/>
        <v>0</v>
      </c>
      <c r="R17" s="156">
        <f t="shared" si="12"/>
        <v>0</v>
      </c>
      <c r="S17" s="156">
        <f t="shared" si="12"/>
        <v>0</v>
      </c>
      <c r="T17" s="156">
        <f t="shared" si="12"/>
        <v>0</v>
      </c>
      <c r="U17" s="156">
        <f t="shared" si="12"/>
        <v>30853514</v>
      </c>
      <c r="V17" s="156">
        <f t="shared" si="12"/>
        <v>0</v>
      </c>
      <c r="W17" s="156">
        <f t="shared" si="12"/>
        <v>0</v>
      </c>
      <c r="X17" s="156">
        <f t="shared" si="12"/>
        <v>0</v>
      </c>
      <c r="Y17" s="156">
        <f t="shared" si="12"/>
        <v>0</v>
      </c>
      <c r="Z17" s="1" t="b">
        <f t="shared" si="9"/>
        <v>1</v>
      </c>
      <c r="AA17" s="23">
        <f t="shared" ref="AA17" si="13">ROUND(K17/J17,4)</f>
        <v>0.61319999999999997</v>
      </c>
      <c r="AB17" s="24" t="s">
        <v>14</v>
      </c>
      <c r="AC17" s="24" t="b">
        <f t="shared" ref="AC17" si="14">J17=K17+L17</f>
        <v>1</v>
      </c>
      <c r="AD17" s="13"/>
    </row>
    <row r="18" spans="1:30" x14ac:dyDescent="0.25">
      <c r="A18" s="353" t="s">
        <v>38</v>
      </c>
      <c r="B18" s="353"/>
      <c r="C18" s="353"/>
      <c r="D18" s="353"/>
      <c r="E18" s="353"/>
      <c r="F18" s="353"/>
      <c r="G18" s="353"/>
      <c r="H18" s="157">
        <f>SUMIF($C$3:$C$15,"W",H3:H15)</f>
        <v>10.156000000000001</v>
      </c>
      <c r="I18" s="158" t="s">
        <v>14</v>
      </c>
      <c r="J18" s="145">
        <f>SUMIF($C$3:$C$15,"W",J3:J15)</f>
        <v>35326784.530000001</v>
      </c>
      <c r="K18" s="145">
        <f>SUMIF($C$3:$C$15,"W",K3:K15)</f>
        <v>18310139.620000001</v>
      </c>
      <c r="L18" s="145">
        <f>SUMIF($C$3:$C$15,"W",L3:L15)</f>
        <v>17016644.909999996</v>
      </c>
      <c r="M18" s="159" t="s">
        <v>14</v>
      </c>
      <c r="N18" s="146">
        <f t="shared" ref="N18:Y18" si="15">SUMIF($C$3:$C$15,"W",N3:N15)</f>
        <v>0</v>
      </c>
      <c r="O18" s="146">
        <f t="shared" si="15"/>
        <v>0</v>
      </c>
      <c r="P18" s="146">
        <f t="shared" si="15"/>
        <v>0</v>
      </c>
      <c r="Q18" s="146">
        <f t="shared" si="15"/>
        <v>0</v>
      </c>
      <c r="R18" s="146">
        <f t="shared" si="15"/>
        <v>0</v>
      </c>
      <c r="S18" s="146">
        <f t="shared" si="15"/>
        <v>0</v>
      </c>
      <c r="T18" s="146">
        <f t="shared" si="15"/>
        <v>0</v>
      </c>
      <c r="U18" s="146">
        <f t="shared" si="15"/>
        <v>7013447.6200000001</v>
      </c>
      <c r="V18" s="146">
        <f t="shared" si="15"/>
        <v>11296692</v>
      </c>
      <c r="W18" s="146">
        <f t="shared" si="15"/>
        <v>0</v>
      </c>
      <c r="X18" s="146">
        <f t="shared" si="15"/>
        <v>0</v>
      </c>
      <c r="Y18" s="146">
        <f t="shared" si="15"/>
        <v>0</v>
      </c>
      <c r="Z18" s="1" t="b">
        <f t="shared" si="9"/>
        <v>1</v>
      </c>
      <c r="AA18" s="23">
        <f t="shared" ref="AA18" si="16">ROUND(K18/J18,4)</f>
        <v>0.51829999999999998</v>
      </c>
      <c r="AB18" s="24" t="s">
        <v>14</v>
      </c>
      <c r="AC18" s="24" t="b">
        <f t="shared" ref="AC18" si="17">J18=K18+L18</f>
        <v>1</v>
      </c>
      <c r="AD18" s="13"/>
    </row>
    <row r="19" spans="1:30" x14ac:dyDescent="0.25">
      <c r="A19" s="19"/>
    </row>
    <row r="20" spans="1:30" x14ac:dyDescent="0.25">
      <c r="A20" s="162" t="s">
        <v>23</v>
      </c>
      <c r="B20" s="163"/>
      <c r="C20" s="163"/>
      <c r="D20" s="163"/>
      <c r="T20" s="13"/>
      <c r="U20" s="13"/>
    </row>
    <row r="21" spans="1:30" x14ac:dyDescent="0.25">
      <c r="A21" s="166" t="s">
        <v>24</v>
      </c>
      <c r="B21" s="163"/>
      <c r="C21" s="163"/>
      <c r="D21" s="163"/>
      <c r="T21" s="13"/>
      <c r="U21" s="13"/>
    </row>
    <row r="22" spans="1:30" x14ac:dyDescent="0.25">
      <c r="A22" s="162" t="s">
        <v>34</v>
      </c>
      <c r="B22" s="163"/>
      <c r="C22" s="163"/>
      <c r="D22" s="163"/>
      <c r="T22" s="13"/>
      <c r="U22" s="13"/>
    </row>
    <row r="23" spans="1:30" x14ac:dyDescent="0.25">
      <c r="A23" s="249" t="s">
        <v>45</v>
      </c>
      <c r="B23" s="163"/>
      <c r="C23" s="163"/>
      <c r="D23" s="163"/>
    </row>
    <row r="24" spans="1:30" x14ac:dyDescent="0.25">
      <c r="A24" s="20"/>
    </row>
  </sheetData>
  <mergeCells count="17">
    <mergeCell ref="A18:G18"/>
    <mergeCell ref="I1:I2"/>
    <mergeCell ref="A1:A2"/>
    <mergeCell ref="B1:B2"/>
    <mergeCell ref="C1:C2"/>
    <mergeCell ref="F1:F2"/>
    <mergeCell ref="G1:G2"/>
    <mergeCell ref="H1:H2"/>
    <mergeCell ref="D1:D2"/>
    <mergeCell ref="A16:G16"/>
    <mergeCell ref="E1:E2"/>
    <mergeCell ref="A17:G17"/>
    <mergeCell ref="J1:J2"/>
    <mergeCell ref="K1:K2"/>
    <mergeCell ref="L1:L2"/>
    <mergeCell ref="M1:M2"/>
    <mergeCell ref="N1:Y1"/>
  </mergeCells>
  <conditionalFormatting sqref="D3:D15">
    <cfRule type="expression" dxfId="19" priority="128">
      <formula>$P3="odrzucenie"</formula>
    </cfRule>
    <cfRule type="expression" dxfId="18" priority="129">
      <formula>$P3="rezygnacja"</formula>
    </cfRule>
  </conditionalFormatting>
  <conditionalFormatting sqref="Z3:AB18">
    <cfRule type="containsText" dxfId="17" priority="136" operator="containsText" text="fałsz">
      <formula>NOT(ISERROR(SEARCH("fałsz",Z3)))</formula>
    </cfRule>
  </conditionalFormatting>
  <conditionalFormatting sqref="Z3:AD18">
    <cfRule type="cellIs" dxfId="16" priority="134" operator="equal">
      <formula>FALSE</formula>
    </cfRule>
  </conditionalFormatting>
  <dataValidations count="2">
    <dataValidation type="list" allowBlank="1" showInputMessage="1" showErrorMessage="1" sqref="G3:G15">
      <formula1>"B,P,R"</formula1>
    </dataValidation>
    <dataValidation type="list" allowBlank="1" showInputMessage="1" showErrorMessage="1" sqref="C3:C15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6" fitToHeight="0" orientation="landscape" r:id="rId1"/>
  <headerFooter>
    <oddHeader>&amp;LWojewództwo świętokrzyskie - zadania powiatowe lista rezerwowa</oddHeader>
    <oddFooter>Strona &amp;P z &amp;N</oddFooter>
  </headerFooter>
  <ignoredErrors>
    <ignoredError sqref="N16:W16 X16:Y16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8"/>
  <sheetViews>
    <sheetView showGridLines="0" view="pageBreakPreview" zoomScaleNormal="80" zoomScaleSheetLayoutView="100" workbookViewId="0">
      <selection activeCell="G19" sqref="G19"/>
    </sheetView>
  </sheetViews>
  <sheetFormatPr defaultColWidth="9.140625" defaultRowHeight="15" x14ac:dyDescent="0.25"/>
  <cols>
    <col min="1" max="1" width="5.7109375" style="9" customWidth="1"/>
    <col min="2" max="2" width="13.7109375" style="9" customWidth="1"/>
    <col min="3" max="3" width="17.7109375" style="9" customWidth="1"/>
    <col min="4" max="4" width="15.7109375" style="9" customWidth="1"/>
    <col min="5" max="5" width="7.7109375" style="9" customWidth="1"/>
    <col min="6" max="6" width="15.7109375" style="9" customWidth="1"/>
    <col min="7" max="7" width="53.7109375" style="9" customWidth="1"/>
    <col min="8" max="8" width="13.7109375" style="9" customWidth="1"/>
    <col min="9" max="10" width="14.7109375" style="9" customWidth="1"/>
    <col min="11" max="13" width="15.7109375" style="9" customWidth="1"/>
    <col min="14" max="14" width="15.7109375" style="1" customWidth="1"/>
    <col min="15" max="19" width="11.7109375" style="9" customWidth="1"/>
    <col min="20" max="22" width="15.7109375" style="9" customWidth="1"/>
    <col min="23" max="26" width="11.7109375" style="9" customWidth="1"/>
    <col min="27" max="30" width="15.7109375" style="9" customWidth="1"/>
    <col min="31" max="16384" width="9.140625" style="9"/>
  </cols>
  <sheetData>
    <row r="1" spans="1:30" ht="18" customHeight="1" x14ac:dyDescent="0.25">
      <c r="A1" s="337" t="s">
        <v>4</v>
      </c>
      <c r="B1" s="337" t="s">
        <v>5</v>
      </c>
      <c r="C1" s="344" t="s">
        <v>44</v>
      </c>
      <c r="D1" s="340" t="s">
        <v>6</v>
      </c>
      <c r="E1" s="340" t="s">
        <v>31</v>
      </c>
      <c r="F1" s="340" t="s">
        <v>15</v>
      </c>
      <c r="G1" s="337" t="s">
        <v>7</v>
      </c>
      <c r="H1" s="337" t="s">
        <v>25</v>
      </c>
      <c r="I1" s="337" t="s">
        <v>8</v>
      </c>
      <c r="J1" s="337" t="s">
        <v>26</v>
      </c>
      <c r="K1" s="337" t="s">
        <v>9</v>
      </c>
      <c r="L1" s="337" t="s">
        <v>10</v>
      </c>
      <c r="M1" s="340" t="s">
        <v>13</v>
      </c>
      <c r="N1" s="337" t="s">
        <v>11</v>
      </c>
      <c r="O1" s="345" t="s">
        <v>12</v>
      </c>
      <c r="P1" s="346"/>
      <c r="Q1" s="346"/>
      <c r="R1" s="346"/>
      <c r="S1" s="346"/>
      <c r="T1" s="346"/>
      <c r="U1" s="346"/>
      <c r="V1" s="346"/>
      <c r="W1" s="346"/>
      <c r="X1" s="346"/>
      <c r="Y1" s="346"/>
      <c r="Z1" s="346"/>
    </row>
    <row r="2" spans="1:30" ht="18" customHeight="1" x14ac:dyDescent="0.25">
      <c r="A2" s="337"/>
      <c r="B2" s="337"/>
      <c r="C2" s="345"/>
      <c r="D2" s="341"/>
      <c r="E2" s="341"/>
      <c r="F2" s="341"/>
      <c r="G2" s="337"/>
      <c r="H2" s="337"/>
      <c r="I2" s="337"/>
      <c r="J2" s="337"/>
      <c r="K2" s="337"/>
      <c r="L2" s="337"/>
      <c r="M2" s="341"/>
      <c r="N2" s="337"/>
      <c r="O2" s="150">
        <v>2019</v>
      </c>
      <c r="P2" s="150">
        <v>2020</v>
      </c>
      <c r="Q2" s="150">
        <v>2021</v>
      </c>
      <c r="R2" s="150">
        <v>2022</v>
      </c>
      <c r="S2" s="150">
        <v>2023</v>
      </c>
      <c r="T2" s="150">
        <v>2024</v>
      </c>
      <c r="U2" s="150">
        <v>2025</v>
      </c>
      <c r="V2" s="150">
        <v>2026</v>
      </c>
      <c r="W2" s="150">
        <v>2027</v>
      </c>
      <c r="X2" s="150">
        <v>2028</v>
      </c>
      <c r="Y2" s="150">
        <v>2029</v>
      </c>
      <c r="Z2" s="150">
        <v>2030</v>
      </c>
      <c r="AA2" s="1" t="s">
        <v>27</v>
      </c>
      <c r="AB2" s="1" t="s">
        <v>28</v>
      </c>
      <c r="AC2" s="1" t="s">
        <v>29</v>
      </c>
      <c r="AD2" s="1" t="s">
        <v>30</v>
      </c>
    </row>
    <row r="3" spans="1:30" ht="24" x14ac:dyDescent="0.25">
      <c r="A3" s="141">
        <v>1</v>
      </c>
      <c r="B3" s="211" t="s">
        <v>218</v>
      </c>
      <c r="C3" s="177" t="s">
        <v>121</v>
      </c>
      <c r="D3" s="180" t="s">
        <v>219</v>
      </c>
      <c r="E3" s="296">
        <v>2601033</v>
      </c>
      <c r="F3" s="180" t="s">
        <v>63</v>
      </c>
      <c r="G3" s="183" t="s">
        <v>220</v>
      </c>
      <c r="H3" s="180" t="s">
        <v>50</v>
      </c>
      <c r="I3" s="186">
        <v>1.18</v>
      </c>
      <c r="J3" s="183" t="s">
        <v>167</v>
      </c>
      <c r="K3" s="196">
        <v>750133.26</v>
      </c>
      <c r="L3" s="189">
        <v>525093</v>
      </c>
      <c r="M3" s="189">
        <v>225040.26</v>
      </c>
      <c r="N3" s="191">
        <v>0.7</v>
      </c>
      <c r="O3" s="193">
        <v>0</v>
      </c>
      <c r="P3" s="193">
        <v>0</v>
      </c>
      <c r="Q3" s="194">
        <v>0</v>
      </c>
      <c r="R3" s="194">
        <v>0</v>
      </c>
      <c r="S3" s="194">
        <v>0</v>
      </c>
      <c r="T3" s="213">
        <v>0</v>
      </c>
      <c r="U3" s="233">
        <v>0</v>
      </c>
      <c r="V3" s="209">
        <v>525093</v>
      </c>
      <c r="W3" s="209"/>
      <c r="X3" s="29"/>
      <c r="Y3" s="29"/>
      <c r="Z3" s="294"/>
      <c r="AA3" s="1" t="b">
        <f t="shared" ref="AA3:AA12" si="0">L3=SUM(O3:Z3)</f>
        <v>1</v>
      </c>
      <c r="AB3" s="23">
        <f t="shared" ref="AB3:AB12" si="1">ROUND(L3/K3,4)</f>
        <v>0.7</v>
      </c>
      <c r="AC3" s="24" t="b">
        <f t="shared" ref="AC3:AC12" si="2">AB3=N3</f>
        <v>1</v>
      </c>
      <c r="AD3" s="24" t="b">
        <f t="shared" ref="AD3:AD12" si="3">K3=L3+M3</f>
        <v>1</v>
      </c>
    </row>
    <row r="4" spans="1:30" ht="24" x14ac:dyDescent="0.25">
      <c r="A4" s="141">
        <v>2</v>
      </c>
      <c r="B4" s="211" t="s">
        <v>221</v>
      </c>
      <c r="C4" s="177" t="s">
        <v>121</v>
      </c>
      <c r="D4" s="180" t="s">
        <v>210</v>
      </c>
      <c r="E4" s="296">
        <v>2607032</v>
      </c>
      <c r="F4" s="180" t="s">
        <v>486</v>
      </c>
      <c r="G4" s="183" t="s">
        <v>222</v>
      </c>
      <c r="H4" s="180" t="s">
        <v>130</v>
      </c>
      <c r="I4" s="186">
        <v>0.874</v>
      </c>
      <c r="J4" s="183" t="s">
        <v>223</v>
      </c>
      <c r="K4" s="196">
        <v>613528.55000000005</v>
      </c>
      <c r="L4" s="189">
        <v>429469</v>
      </c>
      <c r="M4" s="189">
        <v>184059.55</v>
      </c>
      <c r="N4" s="191">
        <v>0.7</v>
      </c>
      <c r="O4" s="193">
        <v>0</v>
      </c>
      <c r="P4" s="193">
        <v>0</v>
      </c>
      <c r="Q4" s="194">
        <v>0</v>
      </c>
      <c r="R4" s="194">
        <v>0</v>
      </c>
      <c r="S4" s="194">
        <v>0</v>
      </c>
      <c r="T4" s="213">
        <v>0</v>
      </c>
      <c r="U4" s="233">
        <v>0</v>
      </c>
      <c r="V4" s="209">
        <v>429469</v>
      </c>
      <c r="W4" s="29"/>
      <c r="X4" s="29"/>
      <c r="Y4" s="29"/>
      <c r="Z4" s="294"/>
      <c r="AA4" s="1" t="b">
        <f t="shared" si="0"/>
        <v>1</v>
      </c>
      <c r="AB4" s="23">
        <f t="shared" si="1"/>
        <v>0.7</v>
      </c>
      <c r="AC4" s="24" t="b">
        <f t="shared" si="2"/>
        <v>1</v>
      </c>
      <c r="AD4" s="24" t="b">
        <f t="shared" si="3"/>
        <v>1</v>
      </c>
    </row>
    <row r="5" spans="1:30" ht="24" x14ac:dyDescent="0.25">
      <c r="A5" s="141">
        <v>3</v>
      </c>
      <c r="B5" s="211" t="s">
        <v>224</v>
      </c>
      <c r="C5" s="177" t="s">
        <v>121</v>
      </c>
      <c r="D5" s="180" t="s">
        <v>225</v>
      </c>
      <c r="E5" s="296">
        <v>2602093</v>
      </c>
      <c r="F5" s="180" t="s">
        <v>490</v>
      </c>
      <c r="G5" s="183" t="s">
        <v>226</v>
      </c>
      <c r="H5" s="180" t="s">
        <v>50</v>
      </c>
      <c r="I5" s="186">
        <v>0.81799999999999995</v>
      </c>
      <c r="J5" s="183" t="s">
        <v>127</v>
      </c>
      <c r="K5" s="196">
        <v>748256.1</v>
      </c>
      <c r="L5" s="189">
        <v>523779</v>
      </c>
      <c r="M5" s="189">
        <v>224477.1</v>
      </c>
      <c r="N5" s="191">
        <v>0.7</v>
      </c>
      <c r="O5" s="193">
        <v>0</v>
      </c>
      <c r="P5" s="193">
        <v>0</v>
      </c>
      <c r="Q5" s="194">
        <v>0</v>
      </c>
      <c r="R5" s="194">
        <v>0</v>
      </c>
      <c r="S5" s="194">
        <v>0</v>
      </c>
      <c r="T5" s="213">
        <v>0</v>
      </c>
      <c r="U5" s="233">
        <v>0</v>
      </c>
      <c r="V5" s="209">
        <v>523779</v>
      </c>
      <c r="W5" s="29"/>
      <c r="X5" s="29"/>
      <c r="Y5" s="29"/>
      <c r="Z5" s="294"/>
      <c r="AA5" s="1" t="b">
        <f t="shared" si="0"/>
        <v>1</v>
      </c>
      <c r="AB5" s="23">
        <f t="shared" si="1"/>
        <v>0.7</v>
      </c>
      <c r="AC5" s="24" t="b">
        <f t="shared" si="2"/>
        <v>1</v>
      </c>
      <c r="AD5" s="24" t="b">
        <f t="shared" si="3"/>
        <v>1</v>
      </c>
    </row>
    <row r="6" spans="1:30" ht="26.25" customHeight="1" x14ac:dyDescent="0.25">
      <c r="A6" s="141">
        <v>4</v>
      </c>
      <c r="B6" s="242" t="s">
        <v>230</v>
      </c>
      <c r="C6" s="177" t="s">
        <v>121</v>
      </c>
      <c r="D6" s="180" t="s">
        <v>231</v>
      </c>
      <c r="E6" s="296">
        <v>2609011</v>
      </c>
      <c r="F6" s="180" t="s">
        <v>491</v>
      </c>
      <c r="G6" s="183" t="s">
        <v>233</v>
      </c>
      <c r="H6" s="180" t="s">
        <v>50</v>
      </c>
      <c r="I6" s="186">
        <v>0.64800000000000002</v>
      </c>
      <c r="J6" s="183" t="s">
        <v>127</v>
      </c>
      <c r="K6" s="196">
        <v>3780682.94</v>
      </c>
      <c r="L6" s="189">
        <v>2646478</v>
      </c>
      <c r="M6" s="189">
        <v>1134204.94</v>
      </c>
      <c r="N6" s="191">
        <v>0.7</v>
      </c>
      <c r="O6" s="193">
        <v>0</v>
      </c>
      <c r="P6" s="193">
        <v>0</v>
      </c>
      <c r="Q6" s="194">
        <v>0</v>
      </c>
      <c r="R6" s="194">
        <v>0</v>
      </c>
      <c r="S6" s="194">
        <v>0</v>
      </c>
      <c r="T6" s="213">
        <v>0</v>
      </c>
      <c r="U6" s="233">
        <v>0</v>
      </c>
      <c r="V6" s="209">
        <v>2646478</v>
      </c>
      <c r="W6" s="29"/>
      <c r="X6" s="29"/>
      <c r="Y6" s="29"/>
      <c r="Z6" s="294"/>
      <c r="AA6" s="1" t="b">
        <f t="shared" si="0"/>
        <v>1</v>
      </c>
      <c r="AB6" s="23">
        <f t="shared" si="1"/>
        <v>0.7</v>
      </c>
      <c r="AC6" s="24" t="b">
        <f t="shared" si="2"/>
        <v>1</v>
      </c>
      <c r="AD6" s="24" t="b">
        <f t="shared" si="3"/>
        <v>1</v>
      </c>
    </row>
    <row r="7" spans="1:30" ht="15" customHeight="1" x14ac:dyDescent="0.25">
      <c r="A7" s="141">
        <v>5</v>
      </c>
      <c r="B7" s="211" t="s">
        <v>234</v>
      </c>
      <c r="C7" s="177" t="s">
        <v>121</v>
      </c>
      <c r="D7" s="180" t="s">
        <v>216</v>
      </c>
      <c r="E7" s="296">
        <v>2602063</v>
      </c>
      <c r="F7" s="180" t="s">
        <v>490</v>
      </c>
      <c r="G7" s="183" t="s">
        <v>235</v>
      </c>
      <c r="H7" s="180" t="s">
        <v>50</v>
      </c>
      <c r="I7" s="186">
        <v>0.5</v>
      </c>
      <c r="J7" s="183" t="s">
        <v>167</v>
      </c>
      <c r="K7" s="196">
        <v>537914.62</v>
      </c>
      <c r="L7" s="189">
        <v>376540</v>
      </c>
      <c r="M7" s="189">
        <v>161374.62</v>
      </c>
      <c r="N7" s="191">
        <v>0.7</v>
      </c>
      <c r="O7" s="193">
        <v>0</v>
      </c>
      <c r="P7" s="193">
        <v>0</v>
      </c>
      <c r="Q7" s="194">
        <v>0</v>
      </c>
      <c r="R7" s="194">
        <v>0</v>
      </c>
      <c r="S7" s="194">
        <v>0</v>
      </c>
      <c r="T7" s="213">
        <v>0</v>
      </c>
      <c r="U7" s="233">
        <v>0</v>
      </c>
      <c r="V7" s="209">
        <v>376540</v>
      </c>
      <c r="W7" s="29"/>
      <c r="X7" s="29"/>
      <c r="Y7" s="29"/>
      <c r="Z7" s="294"/>
      <c r="AA7" s="1" t="b">
        <f t="shared" si="0"/>
        <v>1</v>
      </c>
      <c r="AB7" s="23">
        <f t="shared" si="1"/>
        <v>0.7</v>
      </c>
      <c r="AC7" s="24" t="b">
        <f t="shared" si="2"/>
        <v>1</v>
      </c>
      <c r="AD7" s="24" t="b">
        <f t="shared" si="3"/>
        <v>1</v>
      </c>
    </row>
    <row r="8" spans="1:30" s="282" customFormat="1" ht="24" x14ac:dyDescent="0.25">
      <c r="A8" s="143">
        <v>6</v>
      </c>
      <c r="B8" s="178" t="s">
        <v>236</v>
      </c>
      <c r="C8" s="142" t="s">
        <v>85</v>
      </c>
      <c r="D8" s="181" t="s">
        <v>62</v>
      </c>
      <c r="E8" s="212">
        <v>2601013</v>
      </c>
      <c r="F8" s="181" t="s">
        <v>63</v>
      </c>
      <c r="G8" s="185" t="s">
        <v>237</v>
      </c>
      <c r="H8" s="181" t="s">
        <v>49</v>
      </c>
      <c r="I8" s="187">
        <v>0.46800000000000003</v>
      </c>
      <c r="J8" s="185" t="s">
        <v>238</v>
      </c>
      <c r="K8" s="197">
        <v>3944755.17</v>
      </c>
      <c r="L8" s="190">
        <v>2761328</v>
      </c>
      <c r="M8" s="190">
        <v>1183427.17</v>
      </c>
      <c r="N8" s="192">
        <v>0.7</v>
      </c>
      <c r="O8" s="147">
        <v>0</v>
      </c>
      <c r="P8" s="147">
        <v>0</v>
      </c>
      <c r="Q8" s="195">
        <v>0</v>
      </c>
      <c r="R8" s="195">
        <v>0</v>
      </c>
      <c r="S8" s="195">
        <v>0</v>
      </c>
      <c r="T8" s="198">
        <v>0</v>
      </c>
      <c r="U8" s="199">
        <v>0</v>
      </c>
      <c r="V8" s="148">
        <v>1104531</v>
      </c>
      <c r="W8" s="148">
        <v>1656797</v>
      </c>
      <c r="X8" s="284"/>
      <c r="Y8" s="284"/>
      <c r="Z8" s="287"/>
      <c r="AA8" s="262" t="b">
        <f t="shared" si="0"/>
        <v>1</v>
      </c>
      <c r="AB8" s="263">
        <f t="shared" si="1"/>
        <v>0.7</v>
      </c>
      <c r="AC8" s="264" t="b">
        <f t="shared" si="2"/>
        <v>1</v>
      </c>
      <c r="AD8" s="264" t="b">
        <f t="shared" si="3"/>
        <v>1</v>
      </c>
    </row>
    <row r="9" spans="1:30" ht="24" x14ac:dyDescent="0.25">
      <c r="A9" s="141">
        <v>7</v>
      </c>
      <c r="B9" s="242" t="s">
        <v>239</v>
      </c>
      <c r="C9" s="177" t="s">
        <v>121</v>
      </c>
      <c r="D9" s="180" t="s">
        <v>240</v>
      </c>
      <c r="E9" s="296">
        <v>2610053</v>
      </c>
      <c r="F9" s="180" t="s">
        <v>68</v>
      </c>
      <c r="G9" s="183" t="s">
        <v>241</v>
      </c>
      <c r="H9" s="180" t="s">
        <v>130</v>
      </c>
      <c r="I9" s="186">
        <v>0.32600000000000001</v>
      </c>
      <c r="J9" s="183" t="s">
        <v>242</v>
      </c>
      <c r="K9" s="196">
        <v>443648.72</v>
      </c>
      <c r="L9" s="189">
        <v>354918</v>
      </c>
      <c r="M9" s="189">
        <v>88730.72</v>
      </c>
      <c r="N9" s="191">
        <v>0.8</v>
      </c>
      <c r="O9" s="193">
        <v>0</v>
      </c>
      <c r="P9" s="193">
        <v>0</v>
      </c>
      <c r="Q9" s="194">
        <v>0</v>
      </c>
      <c r="R9" s="194">
        <v>0</v>
      </c>
      <c r="S9" s="194">
        <v>0</v>
      </c>
      <c r="T9" s="213">
        <v>0</v>
      </c>
      <c r="U9" s="233">
        <v>0</v>
      </c>
      <c r="V9" s="209">
        <v>354918</v>
      </c>
      <c r="W9" s="209"/>
      <c r="X9" s="29"/>
      <c r="Y9" s="29"/>
      <c r="Z9" s="294"/>
      <c r="AA9" s="262" t="b">
        <f t="shared" si="0"/>
        <v>1</v>
      </c>
      <c r="AB9" s="263">
        <f t="shared" si="1"/>
        <v>0.8</v>
      </c>
      <c r="AC9" s="264" t="b">
        <f t="shared" si="2"/>
        <v>1</v>
      </c>
      <c r="AD9" s="264" t="b">
        <f t="shared" si="3"/>
        <v>1</v>
      </c>
    </row>
    <row r="10" spans="1:30" ht="24" x14ac:dyDescent="0.25">
      <c r="A10" s="141">
        <v>8</v>
      </c>
      <c r="B10" s="242" t="s">
        <v>243</v>
      </c>
      <c r="C10" s="177" t="s">
        <v>121</v>
      </c>
      <c r="D10" s="180" t="s">
        <v>62</v>
      </c>
      <c r="E10" s="296">
        <v>2601013</v>
      </c>
      <c r="F10" s="180" t="s">
        <v>63</v>
      </c>
      <c r="G10" s="183" t="s">
        <v>244</v>
      </c>
      <c r="H10" s="180" t="s">
        <v>49</v>
      </c>
      <c r="I10" s="186">
        <v>0.182</v>
      </c>
      <c r="J10" s="183" t="s">
        <v>124</v>
      </c>
      <c r="K10" s="196">
        <v>2723587.07</v>
      </c>
      <c r="L10" s="189">
        <v>1906510</v>
      </c>
      <c r="M10" s="189">
        <v>817077.07</v>
      </c>
      <c r="N10" s="191">
        <v>0.7</v>
      </c>
      <c r="O10" s="193">
        <v>0</v>
      </c>
      <c r="P10" s="193">
        <v>0</v>
      </c>
      <c r="Q10" s="194">
        <v>0</v>
      </c>
      <c r="R10" s="194">
        <v>0</v>
      </c>
      <c r="S10" s="194">
        <v>0</v>
      </c>
      <c r="T10" s="213">
        <v>0</v>
      </c>
      <c r="U10" s="233">
        <v>0</v>
      </c>
      <c r="V10" s="209">
        <v>1906510</v>
      </c>
      <c r="W10" s="209"/>
      <c r="X10" s="29"/>
      <c r="Y10" s="29"/>
      <c r="Z10" s="294"/>
      <c r="AA10" s="262" t="b">
        <f t="shared" si="0"/>
        <v>1</v>
      </c>
      <c r="AB10" s="263">
        <f t="shared" si="1"/>
        <v>0.7</v>
      </c>
      <c r="AC10" s="264" t="b">
        <f t="shared" si="2"/>
        <v>1</v>
      </c>
      <c r="AD10" s="264" t="b">
        <f t="shared" si="3"/>
        <v>1</v>
      </c>
    </row>
    <row r="11" spans="1:30" s="282" customFormat="1" x14ac:dyDescent="0.25">
      <c r="A11" s="143">
        <v>9</v>
      </c>
      <c r="B11" s="178" t="s">
        <v>245</v>
      </c>
      <c r="C11" s="142" t="s">
        <v>85</v>
      </c>
      <c r="D11" s="181" t="s">
        <v>61</v>
      </c>
      <c r="E11" s="212">
        <v>2604192</v>
      </c>
      <c r="F11" s="181" t="s">
        <v>60</v>
      </c>
      <c r="G11" s="185" t="s">
        <v>246</v>
      </c>
      <c r="H11" s="181" t="s">
        <v>49</v>
      </c>
      <c r="I11" s="187">
        <v>1.0740000000000001</v>
      </c>
      <c r="J11" s="185" t="s">
        <v>184</v>
      </c>
      <c r="K11" s="197">
        <v>7627511</v>
      </c>
      <c r="L11" s="190">
        <v>4576506</v>
      </c>
      <c r="M11" s="190">
        <f>K11-L11</f>
        <v>3051005</v>
      </c>
      <c r="N11" s="192">
        <v>0.6</v>
      </c>
      <c r="O11" s="147">
        <v>0</v>
      </c>
      <c r="P11" s="147">
        <v>0</v>
      </c>
      <c r="Q11" s="195">
        <v>0</v>
      </c>
      <c r="R11" s="195">
        <v>0</v>
      </c>
      <c r="S11" s="195">
        <v>0</v>
      </c>
      <c r="T11" s="198">
        <v>0</v>
      </c>
      <c r="U11" s="199">
        <v>0</v>
      </c>
      <c r="V11" s="148">
        <v>750000</v>
      </c>
      <c r="W11" s="148">
        <v>3826506</v>
      </c>
      <c r="X11" s="284"/>
      <c r="Y11" s="284"/>
      <c r="Z11" s="287"/>
      <c r="AA11" s="262" t="b">
        <f t="shared" si="0"/>
        <v>1</v>
      </c>
      <c r="AB11" s="263">
        <f t="shared" si="1"/>
        <v>0.6</v>
      </c>
      <c r="AC11" s="264" t="b">
        <f t="shared" si="2"/>
        <v>1</v>
      </c>
      <c r="AD11" s="264" t="b">
        <f t="shared" si="3"/>
        <v>1</v>
      </c>
    </row>
    <row r="12" spans="1:30" ht="24" x14ac:dyDescent="0.25">
      <c r="A12" s="141">
        <v>10</v>
      </c>
      <c r="B12" s="211" t="s">
        <v>247</v>
      </c>
      <c r="C12" s="235" t="s">
        <v>121</v>
      </c>
      <c r="D12" s="180" t="s">
        <v>210</v>
      </c>
      <c r="E12" s="296">
        <v>2607032</v>
      </c>
      <c r="F12" s="180" t="s">
        <v>486</v>
      </c>
      <c r="G12" s="183" t="s">
        <v>248</v>
      </c>
      <c r="H12" s="180" t="s">
        <v>130</v>
      </c>
      <c r="I12" s="186">
        <v>1.38</v>
      </c>
      <c r="J12" s="183" t="s">
        <v>223</v>
      </c>
      <c r="K12" s="196">
        <v>808905.91</v>
      </c>
      <c r="L12" s="189">
        <v>566234</v>
      </c>
      <c r="M12" s="189">
        <v>242671.91</v>
      </c>
      <c r="N12" s="191">
        <v>0.7</v>
      </c>
      <c r="O12" s="193">
        <v>0</v>
      </c>
      <c r="P12" s="193">
        <v>0</v>
      </c>
      <c r="Q12" s="194">
        <v>0</v>
      </c>
      <c r="R12" s="194">
        <v>0</v>
      </c>
      <c r="S12" s="194">
        <v>0</v>
      </c>
      <c r="T12" s="213">
        <v>0</v>
      </c>
      <c r="U12" s="233">
        <v>0</v>
      </c>
      <c r="V12" s="209">
        <v>566234</v>
      </c>
      <c r="W12" s="209"/>
      <c r="X12" s="29"/>
      <c r="Y12" s="29"/>
      <c r="Z12" s="294"/>
      <c r="AA12" s="262" t="b">
        <f t="shared" si="0"/>
        <v>1</v>
      </c>
      <c r="AB12" s="263">
        <f t="shared" si="1"/>
        <v>0.7</v>
      </c>
      <c r="AC12" s="264" t="b">
        <f t="shared" si="2"/>
        <v>1</v>
      </c>
      <c r="AD12" s="264" t="b">
        <f t="shared" si="3"/>
        <v>1</v>
      </c>
    </row>
    <row r="13" spans="1:30" ht="24" x14ac:dyDescent="0.25">
      <c r="A13" s="141">
        <v>11</v>
      </c>
      <c r="B13" s="211" t="s">
        <v>249</v>
      </c>
      <c r="C13" s="235" t="s">
        <v>121</v>
      </c>
      <c r="D13" s="180" t="s">
        <v>250</v>
      </c>
      <c r="E13" s="296">
        <v>2606082</v>
      </c>
      <c r="F13" s="180" t="s">
        <v>70</v>
      </c>
      <c r="G13" s="183" t="s">
        <v>252</v>
      </c>
      <c r="H13" s="180" t="s">
        <v>130</v>
      </c>
      <c r="I13" s="186">
        <v>1.35</v>
      </c>
      <c r="J13" s="183" t="s">
        <v>150</v>
      </c>
      <c r="K13" s="196">
        <v>1765837.35</v>
      </c>
      <c r="L13" s="189">
        <v>1236086</v>
      </c>
      <c r="M13" s="189">
        <f>K13-L13</f>
        <v>529751.35000000009</v>
      </c>
      <c r="N13" s="191">
        <v>0.7</v>
      </c>
      <c r="O13" s="193">
        <v>0</v>
      </c>
      <c r="P13" s="193">
        <v>0</v>
      </c>
      <c r="Q13" s="194">
        <v>0</v>
      </c>
      <c r="R13" s="194">
        <v>0</v>
      </c>
      <c r="S13" s="194">
        <v>0</v>
      </c>
      <c r="T13" s="213">
        <v>0</v>
      </c>
      <c r="U13" s="233">
        <v>0</v>
      </c>
      <c r="V13" s="209">
        <f>L13</f>
        <v>1236086</v>
      </c>
      <c r="W13" s="209"/>
      <c r="X13" s="29"/>
      <c r="Y13" s="29"/>
      <c r="Z13" s="294"/>
      <c r="AA13" s="262" t="b">
        <f t="shared" ref="AA13:AA64" si="4">L13=SUM(O13:Z13)</f>
        <v>1</v>
      </c>
      <c r="AB13" s="263">
        <f t="shared" ref="AB13:AB64" si="5">ROUND(L13/K13,4)</f>
        <v>0.7</v>
      </c>
      <c r="AC13" s="264" t="b">
        <f t="shared" ref="AC13:AC64" si="6">AB13=N13</f>
        <v>1</v>
      </c>
      <c r="AD13" s="264" t="b">
        <f t="shared" ref="AD13:AD64" si="7">K13=L13+M13</f>
        <v>1</v>
      </c>
    </row>
    <row r="14" spans="1:30" ht="24" x14ac:dyDescent="0.25">
      <c r="A14" s="141">
        <v>12</v>
      </c>
      <c r="B14" s="211" t="s">
        <v>287</v>
      </c>
      <c r="C14" s="235" t="s">
        <v>121</v>
      </c>
      <c r="D14" s="180" t="s">
        <v>231</v>
      </c>
      <c r="E14" s="296">
        <v>2609011</v>
      </c>
      <c r="F14" s="180" t="s">
        <v>491</v>
      </c>
      <c r="G14" s="183" t="s">
        <v>288</v>
      </c>
      <c r="H14" s="180" t="s">
        <v>50</v>
      </c>
      <c r="I14" s="186">
        <v>0.66400000000000003</v>
      </c>
      <c r="J14" s="183" t="s">
        <v>127</v>
      </c>
      <c r="K14" s="196">
        <v>2257612.08</v>
      </c>
      <c r="L14" s="189">
        <v>1580328</v>
      </c>
      <c r="M14" s="189">
        <v>677284.08</v>
      </c>
      <c r="N14" s="191">
        <v>0.7</v>
      </c>
      <c r="O14" s="193">
        <v>0</v>
      </c>
      <c r="P14" s="193">
        <v>0</v>
      </c>
      <c r="Q14" s="194">
        <v>0</v>
      </c>
      <c r="R14" s="194">
        <v>0</v>
      </c>
      <c r="S14" s="194">
        <v>0</v>
      </c>
      <c r="T14" s="213">
        <v>0</v>
      </c>
      <c r="U14" s="233">
        <v>0</v>
      </c>
      <c r="V14" s="209">
        <v>1580328</v>
      </c>
      <c r="W14" s="209"/>
      <c r="X14" s="29"/>
      <c r="Y14" s="29"/>
      <c r="Z14" s="294"/>
      <c r="AA14" s="262" t="b">
        <f t="shared" si="4"/>
        <v>1</v>
      </c>
      <c r="AB14" s="263">
        <f t="shared" si="5"/>
        <v>0.7</v>
      </c>
      <c r="AC14" s="264" t="b">
        <f t="shared" si="6"/>
        <v>1</v>
      </c>
      <c r="AD14" s="264" t="b">
        <f t="shared" si="7"/>
        <v>1</v>
      </c>
    </row>
    <row r="15" spans="1:30" x14ac:dyDescent="0.25">
      <c r="A15" s="141">
        <v>13</v>
      </c>
      <c r="B15" s="211" t="s">
        <v>289</v>
      </c>
      <c r="C15" s="235" t="s">
        <v>121</v>
      </c>
      <c r="D15" s="180" t="s">
        <v>290</v>
      </c>
      <c r="E15" s="296">
        <v>2609093</v>
      </c>
      <c r="F15" s="180" t="s">
        <v>491</v>
      </c>
      <c r="G15" s="183" t="s">
        <v>291</v>
      </c>
      <c r="H15" s="180" t="s">
        <v>50</v>
      </c>
      <c r="I15" s="186">
        <v>0.64600000000000002</v>
      </c>
      <c r="J15" s="183" t="s">
        <v>292</v>
      </c>
      <c r="K15" s="196">
        <v>1305188.8899999999</v>
      </c>
      <c r="L15" s="189">
        <v>1044151</v>
      </c>
      <c r="M15" s="189">
        <v>261037.89</v>
      </c>
      <c r="N15" s="191">
        <v>0.8</v>
      </c>
      <c r="O15" s="193">
        <v>0</v>
      </c>
      <c r="P15" s="193">
        <v>0</v>
      </c>
      <c r="Q15" s="194">
        <v>0</v>
      </c>
      <c r="R15" s="194">
        <v>0</v>
      </c>
      <c r="S15" s="194">
        <v>0</v>
      </c>
      <c r="T15" s="213">
        <v>0</v>
      </c>
      <c r="U15" s="233">
        <v>0</v>
      </c>
      <c r="V15" s="209">
        <v>1044151</v>
      </c>
      <c r="W15" s="209"/>
      <c r="X15" s="29"/>
      <c r="Y15" s="29"/>
      <c r="Z15" s="294"/>
      <c r="AA15" s="262" t="b">
        <f t="shared" si="4"/>
        <v>1</v>
      </c>
      <c r="AB15" s="263">
        <f t="shared" si="5"/>
        <v>0.8</v>
      </c>
      <c r="AC15" s="264" t="b">
        <f t="shared" si="6"/>
        <v>1</v>
      </c>
      <c r="AD15" s="264" t="b">
        <f t="shared" si="7"/>
        <v>1</v>
      </c>
    </row>
    <row r="16" spans="1:30" s="282" customFormat="1" x14ac:dyDescent="0.25">
      <c r="A16" s="143">
        <v>14</v>
      </c>
      <c r="B16" s="178" t="s">
        <v>293</v>
      </c>
      <c r="C16" s="285" t="s">
        <v>85</v>
      </c>
      <c r="D16" s="181" t="s">
        <v>64</v>
      </c>
      <c r="E16" s="212">
        <v>2605033</v>
      </c>
      <c r="F16" s="181" t="s">
        <v>65</v>
      </c>
      <c r="G16" s="185" t="s">
        <v>295</v>
      </c>
      <c r="H16" s="181" t="s">
        <v>50</v>
      </c>
      <c r="I16" s="187">
        <v>0.58799999999999997</v>
      </c>
      <c r="J16" s="185" t="s">
        <v>296</v>
      </c>
      <c r="K16" s="197">
        <v>4163228.78</v>
      </c>
      <c r="L16" s="190">
        <v>3330583</v>
      </c>
      <c r="M16" s="190">
        <v>832645.78</v>
      </c>
      <c r="N16" s="192">
        <v>0.8</v>
      </c>
      <c r="O16" s="147">
        <v>0</v>
      </c>
      <c r="P16" s="147">
        <v>0</v>
      </c>
      <c r="Q16" s="195">
        <v>0</v>
      </c>
      <c r="R16" s="195">
        <v>0</v>
      </c>
      <c r="S16" s="195">
        <v>0</v>
      </c>
      <c r="T16" s="198">
        <v>0</v>
      </c>
      <c r="U16" s="199">
        <v>0</v>
      </c>
      <c r="V16" s="148">
        <v>2130583</v>
      </c>
      <c r="W16" s="148">
        <v>1200000</v>
      </c>
      <c r="X16" s="284"/>
      <c r="Y16" s="284"/>
      <c r="Z16" s="287"/>
      <c r="AA16" s="262" t="b">
        <f t="shared" si="4"/>
        <v>1</v>
      </c>
      <c r="AB16" s="263">
        <f t="shared" si="5"/>
        <v>0.8</v>
      </c>
      <c r="AC16" s="264" t="b">
        <f t="shared" si="6"/>
        <v>1</v>
      </c>
      <c r="AD16" s="264" t="b">
        <f t="shared" si="7"/>
        <v>1</v>
      </c>
    </row>
    <row r="17" spans="1:31" x14ac:dyDescent="0.25">
      <c r="A17" s="141">
        <v>15</v>
      </c>
      <c r="B17" s="211" t="s">
        <v>297</v>
      </c>
      <c r="C17" s="235" t="s">
        <v>121</v>
      </c>
      <c r="D17" s="180" t="s">
        <v>298</v>
      </c>
      <c r="E17" s="296">
        <v>2612033</v>
      </c>
      <c r="F17" s="180" t="s">
        <v>488</v>
      </c>
      <c r="G17" s="183" t="s">
        <v>299</v>
      </c>
      <c r="H17" s="180" t="s">
        <v>50</v>
      </c>
      <c r="I17" s="186">
        <v>0.435</v>
      </c>
      <c r="J17" s="183" t="s">
        <v>204</v>
      </c>
      <c r="K17" s="196">
        <v>1810926.12</v>
      </c>
      <c r="L17" s="189">
        <v>1267648</v>
      </c>
      <c r="M17" s="189">
        <v>543278.12</v>
      </c>
      <c r="N17" s="191">
        <v>0.7</v>
      </c>
      <c r="O17" s="193">
        <v>0</v>
      </c>
      <c r="P17" s="193">
        <v>0</v>
      </c>
      <c r="Q17" s="194">
        <v>0</v>
      </c>
      <c r="R17" s="194">
        <v>0</v>
      </c>
      <c r="S17" s="194">
        <v>0</v>
      </c>
      <c r="T17" s="213">
        <v>0</v>
      </c>
      <c r="U17" s="233">
        <v>0</v>
      </c>
      <c r="V17" s="209">
        <v>1267648</v>
      </c>
      <c r="W17" s="209"/>
      <c r="X17" s="29"/>
      <c r="Y17" s="29"/>
      <c r="Z17" s="294"/>
      <c r="AA17" s="262" t="b">
        <f t="shared" si="4"/>
        <v>1</v>
      </c>
      <c r="AB17" s="263">
        <f t="shared" si="5"/>
        <v>0.7</v>
      </c>
      <c r="AC17" s="264" t="b">
        <f t="shared" si="6"/>
        <v>1</v>
      </c>
      <c r="AD17" s="264" t="b">
        <f t="shared" si="7"/>
        <v>1</v>
      </c>
    </row>
    <row r="18" spans="1:31" x14ac:dyDescent="0.25">
      <c r="A18" s="141">
        <v>16</v>
      </c>
      <c r="B18" s="211" t="s">
        <v>303</v>
      </c>
      <c r="C18" s="235" t="s">
        <v>121</v>
      </c>
      <c r="D18" s="180" t="s">
        <v>196</v>
      </c>
      <c r="E18" s="296">
        <v>2611042</v>
      </c>
      <c r="F18" s="180" t="s">
        <v>487</v>
      </c>
      <c r="G18" s="183" t="s">
        <v>304</v>
      </c>
      <c r="H18" s="180" t="s">
        <v>130</v>
      </c>
      <c r="I18" s="186">
        <v>0.40699999999999997</v>
      </c>
      <c r="J18" s="183" t="s">
        <v>242</v>
      </c>
      <c r="K18" s="196">
        <v>711977.38</v>
      </c>
      <c r="L18" s="189">
        <v>498384</v>
      </c>
      <c r="M18" s="189">
        <v>213593.38</v>
      </c>
      <c r="N18" s="191">
        <v>0.7</v>
      </c>
      <c r="O18" s="193">
        <v>0</v>
      </c>
      <c r="P18" s="193">
        <v>0</v>
      </c>
      <c r="Q18" s="194">
        <v>0</v>
      </c>
      <c r="R18" s="194">
        <v>0</v>
      </c>
      <c r="S18" s="194">
        <v>0</v>
      </c>
      <c r="T18" s="213">
        <v>0</v>
      </c>
      <c r="U18" s="233">
        <v>0</v>
      </c>
      <c r="V18" s="209">
        <v>498384</v>
      </c>
      <c r="W18" s="209"/>
      <c r="X18" s="29"/>
      <c r="Y18" s="29"/>
      <c r="Z18" s="294"/>
      <c r="AA18" s="262" t="b">
        <f t="shared" si="4"/>
        <v>1</v>
      </c>
      <c r="AB18" s="263">
        <f t="shared" si="5"/>
        <v>0.7</v>
      </c>
      <c r="AC18" s="264" t="b">
        <f t="shared" si="6"/>
        <v>1</v>
      </c>
      <c r="AD18" s="264" t="b">
        <f t="shared" si="7"/>
        <v>1</v>
      </c>
    </row>
    <row r="19" spans="1:31" x14ac:dyDescent="0.25">
      <c r="A19" s="141">
        <v>17</v>
      </c>
      <c r="B19" s="211" t="s">
        <v>308</v>
      </c>
      <c r="C19" s="235" t="s">
        <v>121</v>
      </c>
      <c r="D19" s="180" t="s">
        <v>309</v>
      </c>
      <c r="E19" s="296">
        <v>2604162</v>
      </c>
      <c r="F19" s="180" t="s">
        <v>60</v>
      </c>
      <c r="G19" s="183" t="s">
        <v>310</v>
      </c>
      <c r="H19" s="180" t="s">
        <v>50</v>
      </c>
      <c r="I19" s="186">
        <v>0.34200000000000003</v>
      </c>
      <c r="J19" s="183" t="s">
        <v>150</v>
      </c>
      <c r="K19" s="196">
        <v>513661.95</v>
      </c>
      <c r="L19" s="189">
        <v>410929</v>
      </c>
      <c r="M19" s="189">
        <v>102732.95</v>
      </c>
      <c r="N19" s="191">
        <v>0.8</v>
      </c>
      <c r="O19" s="193">
        <v>0</v>
      </c>
      <c r="P19" s="193">
        <v>0</v>
      </c>
      <c r="Q19" s="194">
        <v>0</v>
      </c>
      <c r="R19" s="194">
        <v>0</v>
      </c>
      <c r="S19" s="194">
        <v>0</v>
      </c>
      <c r="T19" s="213">
        <v>0</v>
      </c>
      <c r="U19" s="233">
        <v>0</v>
      </c>
      <c r="V19" s="209">
        <v>410929</v>
      </c>
      <c r="W19" s="29"/>
      <c r="X19" s="29"/>
      <c r="Y19" s="29"/>
      <c r="Z19" s="294"/>
      <c r="AA19" s="262" t="b">
        <f t="shared" si="4"/>
        <v>1</v>
      </c>
      <c r="AB19" s="263">
        <f t="shared" si="5"/>
        <v>0.8</v>
      </c>
      <c r="AC19" s="264" t="b">
        <f t="shared" si="6"/>
        <v>1</v>
      </c>
      <c r="AD19" s="264" t="b">
        <f t="shared" si="7"/>
        <v>1</v>
      </c>
    </row>
    <row r="20" spans="1:31" ht="24" x14ac:dyDescent="0.25">
      <c r="A20" s="141">
        <v>18</v>
      </c>
      <c r="B20" s="211" t="s">
        <v>311</v>
      </c>
      <c r="C20" s="235" t="s">
        <v>121</v>
      </c>
      <c r="D20" s="180" t="s">
        <v>186</v>
      </c>
      <c r="E20" s="296">
        <v>2611011</v>
      </c>
      <c r="F20" s="180" t="s">
        <v>487</v>
      </c>
      <c r="G20" s="183" t="s">
        <v>312</v>
      </c>
      <c r="H20" s="180" t="s">
        <v>49</v>
      </c>
      <c r="I20" s="186">
        <v>0.308</v>
      </c>
      <c r="J20" s="183" t="s">
        <v>124</v>
      </c>
      <c r="K20" s="196">
        <v>2524255.31</v>
      </c>
      <c r="L20" s="189">
        <v>1766978</v>
      </c>
      <c r="M20" s="189">
        <v>757277.31</v>
      </c>
      <c r="N20" s="191">
        <v>0.7</v>
      </c>
      <c r="O20" s="193">
        <v>0</v>
      </c>
      <c r="P20" s="193">
        <v>0</v>
      </c>
      <c r="Q20" s="194">
        <v>0</v>
      </c>
      <c r="R20" s="194">
        <v>0</v>
      </c>
      <c r="S20" s="194">
        <v>0</v>
      </c>
      <c r="T20" s="213">
        <v>0</v>
      </c>
      <c r="U20" s="233">
        <v>0</v>
      </c>
      <c r="V20" s="209">
        <v>1766978</v>
      </c>
      <c r="W20" s="29"/>
      <c r="X20" s="29"/>
      <c r="Y20" s="29"/>
      <c r="Z20" s="294"/>
      <c r="AA20" s="262" t="b">
        <f t="shared" si="4"/>
        <v>1</v>
      </c>
      <c r="AB20" s="263">
        <f t="shared" si="5"/>
        <v>0.7</v>
      </c>
      <c r="AC20" s="264" t="b">
        <f t="shared" si="6"/>
        <v>1</v>
      </c>
      <c r="AD20" s="264" t="b">
        <f t="shared" si="7"/>
        <v>1</v>
      </c>
    </row>
    <row r="21" spans="1:31" ht="60" x14ac:dyDescent="0.25">
      <c r="A21" s="141">
        <v>19</v>
      </c>
      <c r="B21" s="211" t="s">
        <v>313</v>
      </c>
      <c r="C21" s="235" t="s">
        <v>121</v>
      </c>
      <c r="D21" s="180" t="s">
        <v>314</v>
      </c>
      <c r="E21" s="296">
        <v>2607043</v>
      </c>
      <c r="F21" s="180" t="s">
        <v>486</v>
      </c>
      <c r="G21" s="183" t="s">
        <v>315</v>
      </c>
      <c r="H21" s="180" t="s">
        <v>50</v>
      </c>
      <c r="I21" s="186">
        <v>0.216</v>
      </c>
      <c r="J21" s="183" t="s">
        <v>316</v>
      </c>
      <c r="K21" s="196">
        <v>510775.31</v>
      </c>
      <c r="L21" s="189">
        <v>408620</v>
      </c>
      <c r="M21" s="189">
        <v>102155.31</v>
      </c>
      <c r="N21" s="191">
        <v>0.8</v>
      </c>
      <c r="O21" s="193">
        <v>0</v>
      </c>
      <c r="P21" s="193">
        <v>0</v>
      </c>
      <c r="Q21" s="194">
        <v>0</v>
      </c>
      <c r="R21" s="194">
        <v>0</v>
      </c>
      <c r="S21" s="194">
        <v>0</v>
      </c>
      <c r="T21" s="213">
        <v>0</v>
      </c>
      <c r="U21" s="233">
        <v>0</v>
      </c>
      <c r="V21" s="209">
        <v>408620</v>
      </c>
      <c r="W21" s="29"/>
      <c r="X21" s="29"/>
      <c r="Y21" s="29"/>
      <c r="Z21" s="294"/>
      <c r="AA21" s="262" t="b">
        <f t="shared" si="4"/>
        <v>1</v>
      </c>
      <c r="AB21" s="263">
        <f t="shared" si="5"/>
        <v>0.8</v>
      </c>
      <c r="AC21" s="264" t="b">
        <f t="shared" si="6"/>
        <v>1</v>
      </c>
      <c r="AD21" s="264" t="b">
        <f t="shared" si="7"/>
        <v>1</v>
      </c>
    </row>
    <row r="22" spans="1:31" ht="24" x14ac:dyDescent="0.25">
      <c r="A22" s="141">
        <v>20</v>
      </c>
      <c r="B22" s="211" t="s">
        <v>317</v>
      </c>
      <c r="C22" s="235" t="s">
        <v>121</v>
      </c>
      <c r="D22" s="180" t="s">
        <v>318</v>
      </c>
      <c r="E22" s="296">
        <v>2610011</v>
      </c>
      <c r="F22" s="180" t="s">
        <v>68</v>
      </c>
      <c r="G22" s="183" t="s">
        <v>493</v>
      </c>
      <c r="H22" s="180" t="s">
        <v>50</v>
      </c>
      <c r="I22" s="186">
        <v>0.20699999999999999</v>
      </c>
      <c r="J22" s="183" t="s">
        <v>319</v>
      </c>
      <c r="K22" s="196">
        <v>795680.01</v>
      </c>
      <c r="L22" s="189">
        <v>636544</v>
      </c>
      <c r="M22" s="189">
        <v>159136.01</v>
      </c>
      <c r="N22" s="191">
        <v>0.8</v>
      </c>
      <c r="O22" s="193">
        <v>0</v>
      </c>
      <c r="P22" s="193">
        <v>0</v>
      </c>
      <c r="Q22" s="194">
        <v>0</v>
      </c>
      <c r="R22" s="194">
        <v>0</v>
      </c>
      <c r="S22" s="194">
        <v>0</v>
      </c>
      <c r="T22" s="213">
        <v>0</v>
      </c>
      <c r="U22" s="233">
        <v>0</v>
      </c>
      <c r="V22" s="209">
        <v>636544</v>
      </c>
      <c r="W22" s="29"/>
      <c r="X22" s="29"/>
      <c r="Y22" s="29"/>
      <c r="Z22" s="294"/>
      <c r="AA22" s="262" t="b">
        <f t="shared" si="4"/>
        <v>1</v>
      </c>
      <c r="AB22" s="263">
        <f t="shared" si="5"/>
        <v>0.8</v>
      </c>
      <c r="AC22" s="264" t="b">
        <f t="shared" si="6"/>
        <v>1</v>
      </c>
      <c r="AD22" s="264" t="b">
        <f t="shared" si="7"/>
        <v>1</v>
      </c>
    </row>
    <row r="23" spans="1:31" x14ac:dyDescent="0.25">
      <c r="A23" s="141">
        <v>21</v>
      </c>
      <c r="B23" s="211" t="s">
        <v>320</v>
      </c>
      <c r="C23" s="235" t="s">
        <v>121</v>
      </c>
      <c r="D23" s="180" t="s">
        <v>216</v>
      </c>
      <c r="E23" s="296">
        <v>2602063</v>
      </c>
      <c r="F23" s="180" t="s">
        <v>490</v>
      </c>
      <c r="G23" s="183" t="s">
        <v>321</v>
      </c>
      <c r="H23" s="180" t="s">
        <v>130</v>
      </c>
      <c r="I23" s="186">
        <v>1.675</v>
      </c>
      <c r="J23" s="183" t="s">
        <v>167</v>
      </c>
      <c r="K23" s="196">
        <v>866734.92</v>
      </c>
      <c r="L23" s="189">
        <v>606714</v>
      </c>
      <c r="M23" s="189">
        <v>260020.92</v>
      </c>
      <c r="N23" s="191">
        <v>0.7</v>
      </c>
      <c r="O23" s="193">
        <v>0</v>
      </c>
      <c r="P23" s="193">
        <v>0</v>
      </c>
      <c r="Q23" s="194">
        <v>0</v>
      </c>
      <c r="R23" s="194">
        <v>0</v>
      </c>
      <c r="S23" s="194">
        <v>0</v>
      </c>
      <c r="T23" s="213">
        <v>0</v>
      </c>
      <c r="U23" s="233">
        <v>0</v>
      </c>
      <c r="V23" s="209">
        <v>606714</v>
      </c>
      <c r="W23" s="29"/>
      <c r="X23" s="29"/>
      <c r="Y23" s="29"/>
      <c r="Z23" s="294"/>
      <c r="AA23" s="262" t="b">
        <f t="shared" si="4"/>
        <v>1</v>
      </c>
      <c r="AB23" s="263">
        <f t="shared" si="5"/>
        <v>0.7</v>
      </c>
      <c r="AC23" s="264" t="b">
        <f t="shared" si="6"/>
        <v>1</v>
      </c>
      <c r="AD23" s="264" t="b">
        <f t="shared" si="7"/>
        <v>1</v>
      </c>
    </row>
    <row r="24" spans="1:31" x14ac:dyDescent="0.25">
      <c r="A24" s="141">
        <v>22</v>
      </c>
      <c r="B24" s="211" t="s">
        <v>322</v>
      </c>
      <c r="C24" s="235" t="s">
        <v>121</v>
      </c>
      <c r="D24" s="180" t="s">
        <v>323</v>
      </c>
      <c r="E24" s="296">
        <v>2612043</v>
      </c>
      <c r="F24" s="180" t="s">
        <v>488</v>
      </c>
      <c r="G24" s="183" t="s">
        <v>324</v>
      </c>
      <c r="H24" s="180" t="s">
        <v>130</v>
      </c>
      <c r="I24" s="186">
        <v>1.63</v>
      </c>
      <c r="J24" s="183" t="s">
        <v>325</v>
      </c>
      <c r="K24" s="196">
        <v>716537.42</v>
      </c>
      <c r="L24" s="189">
        <v>501576</v>
      </c>
      <c r="M24" s="189">
        <v>214961.42</v>
      </c>
      <c r="N24" s="191">
        <v>0.7</v>
      </c>
      <c r="O24" s="193">
        <v>0</v>
      </c>
      <c r="P24" s="193">
        <v>0</v>
      </c>
      <c r="Q24" s="194">
        <v>0</v>
      </c>
      <c r="R24" s="194">
        <v>0</v>
      </c>
      <c r="S24" s="194">
        <v>0</v>
      </c>
      <c r="T24" s="213">
        <v>0</v>
      </c>
      <c r="U24" s="233">
        <v>0</v>
      </c>
      <c r="V24" s="209">
        <v>501576</v>
      </c>
      <c r="W24" s="29"/>
      <c r="X24" s="29"/>
      <c r="Y24" s="29"/>
      <c r="Z24" s="294"/>
      <c r="AA24" s="262" t="b">
        <f t="shared" si="4"/>
        <v>1</v>
      </c>
      <c r="AB24" s="263">
        <f t="shared" si="5"/>
        <v>0.7</v>
      </c>
      <c r="AC24" s="264" t="b">
        <f t="shared" si="6"/>
        <v>1</v>
      </c>
      <c r="AD24" s="264" t="b">
        <f t="shared" si="7"/>
        <v>1</v>
      </c>
    </row>
    <row r="25" spans="1:31" ht="24" x14ac:dyDescent="0.25">
      <c r="A25" s="141">
        <v>23</v>
      </c>
      <c r="B25" s="211" t="s">
        <v>326</v>
      </c>
      <c r="C25" s="235" t="s">
        <v>121</v>
      </c>
      <c r="D25" s="180" t="s">
        <v>179</v>
      </c>
      <c r="E25" s="296">
        <v>2611032</v>
      </c>
      <c r="F25" s="180" t="s">
        <v>487</v>
      </c>
      <c r="G25" s="183" t="s">
        <v>327</v>
      </c>
      <c r="H25" s="180" t="s">
        <v>49</v>
      </c>
      <c r="I25" s="186">
        <v>1.107</v>
      </c>
      <c r="J25" s="183" t="s">
        <v>181</v>
      </c>
      <c r="K25" s="196">
        <v>3274526.55</v>
      </c>
      <c r="L25" s="189">
        <v>2292168</v>
      </c>
      <c r="M25" s="189">
        <v>982358.55</v>
      </c>
      <c r="N25" s="191">
        <v>0.7</v>
      </c>
      <c r="O25" s="193">
        <v>0</v>
      </c>
      <c r="P25" s="193">
        <v>0</v>
      </c>
      <c r="Q25" s="194">
        <v>0</v>
      </c>
      <c r="R25" s="194">
        <v>0</v>
      </c>
      <c r="S25" s="194">
        <v>0</v>
      </c>
      <c r="T25" s="213">
        <v>0</v>
      </c>
      <c r="U25" s="233">
        <v>0</v>
      </c>
      <c r="V25" s="209">
        <v>2292168</v>
      </c>
      <c r="W25" s="29"/>
      <c r="X25" s="29"/>
      <c r="Y25" s="29"/>
      <c r="Z25" s="294"/>
      <c r="AA25" s="262" t="b">
        <f t="shared" si="4"/>
        <v>1</v>
      </c>
      <c r="AB25" s="263">
        <f t="shared" si="5"/>
        <v>0.7</v>
      </c>
      <c r="AC25" s="264" t="b">
        <f t="shared" si="6"/>
        <v>1</v>
      </c>
      <c r="AD25" s="264" t="b">
        <f t="shared" si="7"/>
        <v>1</v>
      </c>
    </row>
    <row r="26" spans="1:31" ht="48" x14ac:dyDescent="0.25">
      <c r="A26" s="141">
        <v>24</v>
      </c>
      <c r="B26" s="211" t="s">
        <v>328</v>
      </c>
      <c r="C26" s="235" t="s">
        <v>121</v>
      </c>
      <c r="D26" s="180" t="s">
        <v>329</v>
      </c>
      <c r="E26" s="296">
        <v>2609062</v>
      </c>
      <c r="F26" s="180" t="s">
        <v>491</v>
      </c>
      <c r="G26" s="183" t="s">
        <v>330</v>
      </c>
      <c r="H26" s="180" t="s">
        <v>130</v>
      </c>
      <c r="I26" s="186">
        <v>1.0900000000000001</v>
      </c>
      <c r="J26" s="183" t="s">
        <v>242</v>
      </c>
      <c r="K26" s="196">
        <v>855739.74</v>
      </c>
      <c r="L26" s="189">
        <v>599017</v>
      </c>
      <c r="M26" s="189">
        <v>256722.74</v>
      </c>
      <c r="N26" s="191">
        <v>0.7</v>
      </c>
      <c r="O26" s="193">
        <v>0</v>
      </c>
      <c r="P26" s="193">
        <v>0</v>
      </c>
      <c r="Q26" s="194">
        <v>0</v>
      </c>
      <c r="R26" s="194">
        <v>0</v>
      </c>
      <c r="S26" s="194">
        <v>0</v>
      </c>
      <c r="T26" s="213">
        <v>0</v>
      </c>
      <c r="U26" s="233">
        <v>0</v>
      </c>
      <c r="V26" s="209">
        <v>599017</v>
      </c>
      <c r="W26" s="29"/>
      <c r="X26" s="29"/>
      <c r="Y26" s="29"/>
      <c r="Z26" s="294"/>
      <c r="AA26" s="262" t="b">
        <f t="shared" si="4"/>
        <v>1</v>
      </c>
      <c r="AB26" s="263">
        <f t="shared" si="5"/>
        <v>0.7</v>
      </c>
      <c r="AC26" s="264" t="b">
        <f t="shared" si="6"/>
        <v>1</v>
      </c>
      <c r="AD26" s="264" t="b">
        <f t="shared" si="7"/>
        <v>1</v>
      </c>
    </row>
    <row r="27" spans="1:31" x14ac:dyDescent="0.25">
      <c r="A27" s="141">
        <v>25</v>
      </c>
      <c r="B27" s="211" t="s">
        <v>331</v>
      </c>
      <c r="C27" s="235" t="s">
        <v>121</v>
      </c>
      <c r="D27" s="180" t="s">
        <v>332</v>
      </c>
      <c r="E27" s="296">
        <v>2602023</v>
      </c>
      <c r="F27" s="180" t="s">
        <v>490</v>
      </c>
      <c r="G27" s="183" t="s">
        <v>333</v>
      </c>
      <c r="H27" s="180" t="s">
        <v>50</v>
      </c>
      <c r="I27" s="186">
        <v>1</v>
      </c>
      <c r="J27" s="183" t="s">
        <v>242</v>
      </c>
      <c r="K27" s="196">
        <v>817805.41</v>
      </c>
      <c r="L27" s="189">
        <v>654244</v>
      </c>
      <c r="M27" s="189">
        <v>163561.41</v>
      </c>
      <c r="N27" s="191">
        <v>0.8</v>
      </c>
      <c r="O27" s="193">
        <v>0</v>
      </c>
      <c r="P27" s="193">
        <v>0</v>
      </c>
      <c r="Q27" s="194">
        <v>0</v>
      </c>
      <c r="R27" s="194">
        <v>0</v>
      </c>
      <c r="S27" s="194">
        <v>0</v>
      </c>
      <c r="T27" s="213">
        <v>0</v>
      </c>
      <c r="U27" s="233">
        <v>0</v>
      </c>
      <c r="V27" s="209">
        <v>654244</v>
      </c>
      <c r="W27" s="29"/>
      <c r="X27" s="29"/>
      <c r="Y27" s="29"/>
      <c r="Z27" s="294"/>
      <c r="AA27" s="1" t="b">
        <f t="shared" si="4"/>
        <v>1</v>
      </c>
      <c r="AB27" s="23">
        <f t="shared" si="5"/>
        <v>0.8</v>
      </c>
      <c r="AC27" s="24" t="b">
        <f t="shared" si="6"/>
        <v>1</v>
      </c>
      <c r="AD27" s="24" t="b">
        <f t="shared" si="7"/>
        <v>1</v>
      </c>
    </row>
    <row r="28" spans="1:31" ht="24" x14ac:dyDescent="0.25">
      <c r="A28" s="141">
        <v>26</v>
      </c>
      <c r="B28" s="211" t="s">
        <v>334</v>
      </c>
      <c r="C28" s="235" t="s">
        <v>121</v>
      </c>
      <c r="D28" s="180" t="s">
        <v>335</v>
      </c>
      <c r="E28" s="296">
        <v>2603022</v>
      </c>
      <c r="F28" s="180" t="s">
        <v>489</v>
      </c>
      <c r="G28" s="183" t="s">
        <v>336</v>
      </c>
      <c r="H28" s="180" t="s">
        <v>50</v>
      </c>
      <c r="I28" s="186">
        <v>0.998</v>
      </c>
      <c r="J28" s="183" t="s">
        <v>242</v>
      </c>
      <c r="K28" s="196">
        <v>1698050.74</v>
      </c>
      <c r="L28" s="189">
        <v>1018830</v>
      </c>
      <c r="M28" s="189">
        <v>679220.74</v>
      </c>
      <c r="N28" s="191">
        <v>0.6</v>
      </c>
      <c r="O28" s="193">
        <v>0</v>
      </c>
      <c r="P28" s="193">
        <v>0</v>
      </c>
      <c r="Q28" s="194">
        <v>0</v>
      </c>
      <c r="R28" s="194">
        <v>0</v>
      </c>
      <c r="S28" s="194">
        <v>0</v>
      </c>
      <c r="T28" s="213">
        <v>0</v>
      </c>
      <c r="U28" s="233">
        <v>0</v>
      </c>
      <c r="V28" s="209">
        <v>1018830</v>
      </c>
      <c r="W28" s="29"/>
      <c r="X28" s="29"/>
      <c r="Y28" s="29"/>
      <c r="Z28" s="294"/>
      <c r="AA28" s="1" t="b">
        <f t="shared" si="4"/>
        <v>1</v>
      </c>
      <c r="AB28" s="23">
        <f t="shared" si="5"/>
        <v>0.6</v>
      </c>
      <c r="AC28" s="24" t="b">
        <f t="shared" si="6"/>
        <v>1</v>
      </c>
      <c r="AD28" s="24" t="b">
        <f t="shared" si="7"/>
        <v>1</v>
      </c>
    </row>
    <row r="29" spans="1:31" ht="24" x14ac:dyDescent="0.25">
      <c r="A29" s="141">
        <v>27</v>
      </c>
      <c r="B29" s="211" t="s">
        <v>337</v>
      </c>
      <c r="C29" s="235" t="s">
        <v>121</v>
      </c>
      <c r="D29" s="180" t="s">
        <v>228</v>
      </c>
      <c r="E29" s="296">
        <v>2601083</v>
      </c>
      <c r="F29" s="180" t="s">
        <v>63</v>
      </c>
      <c r="G29" s="183" t="s">
        <v>338</v>
      </c>
      <c r="H29" s="180" t="s">
        <v>50</v>
      </c>
      <c r="I29" s="186">
        <v>0.99</v>
      </c>
      <c r="J29" s="183" t="s">
        <v>204</v>
      </c>
      <c r="K29" s="196">
        <v>1245939.8500000001</v>
      </c>
      <c r="L29" s="189">
        <v>872157</v>
      </c>
      <c r="M29" s="189">
        <v>373782.85</v>
      </c>
      <c r="N29" s="191">
        <v>0.7</v>
      </c>
      <c r="O29" s="193">
        <v>0</v>
      </c>
      <c r="P29" s="193">
        <v>0</v>
      </c>
      <c r="Q29" s="194">
        <v>0</v>
      </c>
      <c r="R29" s="194">
        <v>0</v>
      </c>
      <c r="S29" s="194">
        <v>0</v>
      </c>
      <c r="T29" s="213">
        <v>0</v>
      </c>
      <c r="U29" s="233">
        <v>0</v>
      </c>
      <c r="V29" s="209">
        <v>872157</v>
      </c>
      <c r="W29" s="29"/>
      <c r="X29" s="29"/>
      <c r="Y29" s="29"/>
      <c r="Z29" s="294"/>
      <c r="AA29" s="262" t="b">
        <f t="shared" si="4"/>
        <v>1</v>
      </c>
      <c r="AB29" s="263">
        <f t="shared" si="5"/>
        <v>0.7</v>
      </c>
      <c r="AC29" s="264" t="b">
        <f t="shared" si="6"/>
        <v>1</v>
      </c>
      <c r="AD29" s="264" t="b">
        <f t="shared" si="7"/>
        <v>1</v>
      </c>
      <c r="AE29" s="25"/>
    </row>
    <row r="30" spans="1:31" s="282" customFormat="1" ht="24" x14ac:dyDescent="0.25">
      <c r="A30" s="143">
        <v>28</v>
      </c>
      <c r="B30" s="178" t="s">
        <v>342</v>
      </c>
      <c r="C30" s="285" t="s">
        <v>85</v>
      </c>
      <c r="D30" s="181" t="s">
        <v>343</v>
      </c>
      <c r="E30" s="212">
        <v>2608022</v>
      </c>
      <c r="F30" s="181" t="s">
        <v>67</v>
      </c>
      <c r="G30" s="185" t="s">
        <v>344</v>
      </c>
      <c r="H30" s="181" t="s">
        <v>50</v>
      </c>
      <c r="I30" s="187">
        <v>0.9</v>
      </c>
      <c r="J30" s="185" t="s">
        <v>345</v>
      </c>
      <c r="K30" s="197">
        <v>1791329.71</v>
      </c>
      <c r="L30" s="190">
        <v>1433063</v>
      </c>
      <c r="M30" s="190">
        <v>358266.71</v>
      </c>
      <c r="N30" s="192">
        <v>0.8</v>
      </c>
      <c r="O30" s="147">
        <v>0</v>
      </c>
      <c r="P30" s="147">
        <v>0</v>
      </c>
      <c r="Q30" s="195">
        <v>0</v>
      </c>
      <c r="R30" s="195">
        <v>0</v>
      </c>
      <c r="S30" s="195">
        <v>0</v>
      </c>
      <c r="T30" s="198">
        <v>0</v>
      </c>
      <c r="U30" s="199">
        <v>0</v>
      </c>
      <c r="V30" s="148">
        <v>500000</v>
      </c>
      <c r="W30" s="148">
        <v>933063</v>
      </c>
      <c r="X30" s="284"/>
      <c r="Y30" s="284"/>
      <c r="Z30" s="287"/>
      <c r="AA30" s="262" t="b">
        <f t="shared" si="4"/>
        <v>1</v>
      </c>
      <c r="AB30" s="263">
        <f t="shared" si="5"/>
        <v>0.8</v>
      </c>
      <c r="AC30" s="264" t="b">
        <f t="shared" si="6"/>
        <v>1</v>
      </c>
      <c r="AD30" s="264" t="b">
        <f t="shared" si="7"/>
        <v>1</v>
      </c>
      <c r="AE30" s="25"/>
    </row>
    <row r="31" spans="1:31" ht="24" x14ac:dyDescent="0.25">
      <c r="A31" s="141">
        <v>29</v>
      </c>
      <c r="B31" s="211" t="s">
        <v>346</v>
      </c>
      <c r="C31" s="235" t="s">
        <v>121</v>
      </c>
      <c r="D31" s="180" t="s">
        <v>347</v>
      </c>
      <c r="E31" s="296">
        <v>2601043</v>
      </c>
      <c r="F31" s="180" t="s">
        <v>63</v>
      </c>
      <c r="G31" s="183" t="s">
        <v>348</v>
      </c>
      <c r="H31" s="180" t="s">
        <v>130</v>
      </c>
      <c r="I31" s="186">
        <v>0.70199999999999996</v>
      </c>
      <c r="J31" s="183" t="s">
        <v>204</v>
      </c>
      <c r="K31" s="196">
        <v>582097.21</v>
      </c>
      <c r="L31" s="189">
        <v>407468</v>
      </c>
      <c r="M31" s="189">
        <v>174629.21</v>
      </c>
      <c r="N31" s="191">
        <v>0.7</v>
      </c>
      <c r="O31" s="193">
        <v>0</v>
      </c>
      <c r="P31" s="193">
        <v>0</v>
      </c>
      <c r="Q31" s="194">
        <v>0</v>
      </c>
      <c r="R31" s="194">
        <v>0</v>
      </c>
      <c r="S31" s="194">
        <v>0</v>
      </c>
      <c r="T31" s="213">
        <v>0</v>
      </c>
      <c r="U31" s="233">
        <v>0</v>
      </c>
      <c r="V31" s="209">
        <v>407468</v>
      </c>
      <c r="W31" s="29"/>
      <c r="X31" s="29"/>
      <c r="Y31" s="29"/>
      <c r="Z31" s="294"/>
      <c r="AA31" s="262" t="b">
        <f t="shared" si="4"/>
        <v>1</v>
      </c>
      <c r="AB31" s="263">
        <f t="shared" si="5"/>
        <v>0.7</v>
      </c>
      <c r="AC31" s="264" t="b">
        <f t="shared" si="6"/>
        <v>1</v>
      </c>
      <c r="AD31" s="264" t="b">
        <f t="shared" si="7"/>
        <v>1</v>
      </c>
      <c r="AE31" s="25"/>
    </row>
    <row r="32" spans="1:31" ht="24" x14ac:dyDescent="0.25">
      <c r="A32" s="141">
        <v>30</v>
      </c>
      <c r="B32" s="211" t="s">
        <v>353</v>
      </c>
      <c r="C32" s="235" t="s">
        <v>121</v>
      </c>
      <c r="D32" s="180" t="s">
        <v>152</v>
      </c>
      <c r="E32" s="296">
        <v>2604133</v>
      </c>
      <c r="F32" s="180" t="s">
        <v>60</v>
      </c>
      <c r="G32" s="183" t="s">
        <v>354</v>
      </c>
      <c r="H32" s="180" t="s">
        <v>130</v>
      </c>
      <c r="I32" s="186">
        <v>0.62</v>
      </c>
      <c r="J32" s="183" t="s">
        <v>127</v>
      </c>
      <c r="K32" s="196">
        <v>649952.68000000005</v>
      </c>
      <c r="L32" s="189">
        <v>519962</v>
      </c>
      <c r="M32" s="189">
        <v>129990.68</v>
      </c>
      <c r="N32" s="191">
        <v>0.8</v>
      </c>
      <c r="O32" s="193">
        <v>0</v>
      </c>
      <c r="P32" s="193">
        <v>0</v>
      </c>
      <c r="Q32" s="194">
        <v>0</v>
      </c>
      <c r="R32" s="194">
        <v>0</v>
      </c>
      <c r="S32" s="194">
        <v>0</v>
      </c>
      <c r="T32" s="213">
        <v>0</v>
      </c>
      <c r="U32" s="233">
        <v>0</v>
      </c>
      <c r="V32" s="209">
        <v>519962</v>
      </c>
      <c r="W32" s="29"/>
      <c r="X32" s="29"/>
      <c r="Y32" s="29"/>
      <c r="Z32" s="294"/>
      <c r="AA32" s="262" t="b">
        <f t="shared" si="4"/>
        <v>1</v>
      </c>
      <c r="AB32" s="263">
        <f t="shared" si="5"/>
        <v>0.8</v>
      </c>
      <c r="AC32" s="264" t="b">
        <f t="shared" si="6"/>
        <v>1</v>
      </c>
      <c r="AD32" s="264" t="b">
        <f t="shared" si="7"/>
        <v>1</v>
      </c>
      <c r="AE32" s="25"/>
    </row>
    <row r="33" spans="1:31" ht="24" x14ac:dyDescent="0.25">
      <c r="A33" s="141">
        <v>31</v>
      </c>
      <c r="B33" s="211" t="s">
        <v>355</v>
      </c>
      <c r="C33" s="235" t="s">
        <v>121</v>
      </c>
      <c r="D33" s="180" t="s">
        <v>250</v>
      </c>
      <c r="E33" s="296">
        <v>2606082</v>
      </c>
      <c r="F33" s="180" t="s">
        <v>70</v>
      </c>
      <c r="G33" s="183" t="s">
        <v>356</v>
      </c>
      <c r="H33" s="180" t="s">
        <v>50</v>
      </c>
      <c r="I33" s="186">
        <v>0.48</v>
      </c>
      <c r="J33" s="183" t="s">
        <v>150</v>
      </c>
      <c r="K33" s="196">
        <v>613186.80000000005</v>
      </c>
      <c r="L33" s="189">
        <v>429230.76</v>
      </c>
      <c r="M33" s="189">
        <f>K33-L33</f>
        <v>183956.04000000004</v>
      </c>
      <c r="N33" s="191">
        <v>0.7</v>
      </c>
      <c r="O33" s="193">
        <v>0</v>
      </c>
      <c r="P33" s="193">
        <v>0</v>
      </c>
      <c r="Q33" s="194">
        <v>0</v>
      </c>
      <c r="R33" s="194">
        <v>0</v>
      </c>
      <c r="S33" s="194">
        <v>0</v>
      </c>
      <c r="T33" s="213">
        <v>0</v>
      </c>
      <c r="U33" s="233">
        <v>0</v>
      </c>
      <c r="V33" s="209">
        <f>L33</f>
        <v>429230.76</v>
      </c>
      <c r="W33" s="29"/>
      <c r="X33" s="29"/>
      <c r="Y33" s="29"/>
      <c r="Z33" s="294"/>
      <c r="AA33" s="262" t="b">
        <f t="shared" si="4"/>
        <v>1</v>
      </c>
      <c r="AB33" s="263">
        <f t="shared" si="5"/>
        <v>0.7</v>
      </c>
      <c r="AC33" s="264" t="b">
        <f t="shared" si="6"/>
        <v>1</v>
      </c>
      <c r="AD33" s="264" t="b">
        <f t="shared" si="7"/>
        <v>1</v>
      </c>
      <c r="AE33" s="25"/>
    </row>
    <row r="34" spans="1:31" x14ac:dyDescent="0.25">
      <c r="A34" s="141">
        <v>32</v>
      </c>
      <c r="B34" s="211" t="s">
        <v>362</v>
      </c>
      <c r="C34" s="235" t="s">
        <v>121</v>
      </c>
      <c r="D34" s="180" t="s">
        <v>159</v>
      </c>
      <c r="E34" s="296">
        <v>2607062</v>
      </c>
      <c r="F34" s="180" t="s">
        <v>486</v>
      </c>
      <c r="G34" s="183" t="s">
        <v>363</v>
      </c>
      <c r="H34" s="180" t="s">
        <v>130</v>
      </c>
      <c r="I34" s="186">
        <v>0.34499999999999997</v>
      </c>
      <c r="J34" s="183" t="s">
        <v>161</v>
      </c>
      <c r="K34" s="196">
        <v>590338.5</v>
      </c>
      <c r="L34" s="189">
        <v>413236</v>
      </c>
      <c r="M34" s="189">
        <v>177102.5</v>
      </c>
      <c r="N34" s="191">
        <v>0.7</v>
      </c>
      <c r="O34" s="193">
        <v>0</v>
      </c>
      <c r="P34" s="193">
        <v>0</v>
      </c>
      <c r="Q34" s="194">
        <v>0</v>
      </c>
      <c r="R34" s="194">
        <v>0</v>
      </c>
      <c r="S34" s="194">
        <v>0</v>
      </c>
      <c r="T34" s="213">
        <v>0</v>
      </c>
      <c r="U34" s="233">
        <v>0</v>
      </c>
      <c r="V34" s="209">
        <v>413236</v>
      </c>
      <c r="W34" s="29"/>
      <c r="X34" s="29"/>
      <c r="Y34" s="29"/>
      <c r="Z34" s="294"/>
      <c r="AA34" s="262" t="b">
        <f t="shared" si="4"/>
        <v>1</v>
      </c>
      <c r="AB34" s="263">
        <f t="shared" si="5"/>
        <v>0.7</v>
      </c>
      <c r="AC34" s="264" t="b">
        <f t="shared" si="6"/>
        <v>1</v>
      </c>
      <c r="AD34" s="264" t="b">
        <f t="shared" si="7"/>
        <v>1</v>
      </c>
      <c r="AE34" s="25"/>
    </row>
    <row r="35" spans="1:31" x14ac:dyDescent="0.25">
      <c r="A35" s="141">
        <v>33</v>
      </c>
      <c r="B35" s="211" t="s">
        <v>368</v>
      </c>
      <c r="C35" s="235" t="s">
        <v>121</v>
      </c>
      <c r="D35" s="180" t="s">
        <v>369</v>
      </c>
      <c r="E35" s="296">
        <v>2604053</v>
      </c>
      <c r="F35" s="180" t="s">
        <v>60</v>
      </c>
      <c r="G35" s="183" t="s">
        <v>370</v>
      </c>
      <c r="H35" s="180" t="s">
        <v>49</v>
      </c>
      <c r="I35" s="186">
        <v>0.26500000000000001</v>
      </c>
      <c r="J35" s="183" t="s">
        <v>371</v>
      </c>
      <c r="K35" s="196">
        <v>2212749.11</v>
      </c>
      <c r="L35" s="189">
        <v>1548924</v>
      </c>
      <c r="M35" s="189">
        <v>663825.11</v>
      </c>
      <c r="N35" s="191">
        <v>0.7</v>
      </c>
      <c r="O35" s="193">
        <v>0</v>
      </c>
      <c r="P35" s="193">
        <v>0</v>
      </c>
      <c r="Q35" s="194">
        <v>0</v>
      </c>
      <c r="R35" s="194">
        <v>0</v>
      </c>
      <c r="S35" s="194">
        <v>0</v>
      </c>
      <c r="T35" s="213">
        <v>0</v>
      </c>
      <c r="U35" s="233">
        <v>0</v>
      </c>
      <c r="V35" s="209">
        <v>1548924</v>
      </c>
      <c r="W35" s="29"/>
      <c r="X35" s="29"/>
      <c r="Y35" s="29"/>
      <c r="Z35" s="294"/>
      <c r="AA35" s="262" t="b">
        <f t="shared" si="4"/>
        <v>1</v>
      </c>
      <c r="AB35" s="263">
        <f t="shared" si="5"/>
        <v>0.7</v>
      </c>
      <c r="AC35" s="264" t="b">
        <f t="shared" si="6"/>
        <v>1</v>
      </c>
      <c r="AD35" s="264" t="b">
        <f t="shared" si="7"/>
        <v>1</v>
      </c>
      <c r="AE35" s="25"/>
    </row>
    <row r="36" spans="1:31" x14ac:dyDescent="0.25">
      <c r="A36" s="141">
        <v>34</v>
      </c>
      <c r="B36" s="211" t="s">
        <v>372</v>
      </c>
      <c r="C36" s="235" t="s">
        <v>121</v>
      </c>
      <c r="D36" s="180" t="s">
        <v>373</v>
      </c>
      <c r="E36" s="296">
        <v>2607053</v>
      </c>
      <c r="F36" s="180" t="s">
        <v>486</v>
      </c>
      <c r="G36" s="183" t="s">
        <v>374</v>
      </c>
      <c r="H36" s="180" t="s">
        <v>50</v>
      </c>
      <c r="I36" s="186">
        <v>0.188</v>
      </c>
      <c r="J36" s="183" t="s">
        <v>127</v>
      </c>
      <c r="K36" s="196">
        <v>1854583.41</v>
      </c>
      <c r="L36" s="189">
        <v>1298208</v>
      </c>
      <c r="M36" s="189">
        <v>556375.41</v>
      </c>
      <c r="N36" s="191">
        <v>0.7</v>
      </c>
      <c r="O36" s="193">
        <v>0</v>
      </c>
      <c r="P36" s="193">
        <v>0</v>
      </c>
      <c r="Q36" s="194">
        <v>0</v>
      </c>
      <c r="R36" s="194">
        <v>0</v>
      </c>
      <c r="S36" s="194">
        <v>0</v>
      </c>
      <c r="T36" s="213">
        <v>0</v>
      </c>
      <c r="U36" s="233">
        <v>0</v>
      </c>
      <c r="V36" s="209">
        <v>1298208</v>
      </c>
      <c r="W36" s="29"/>
      <c r="X36" s="29"/>
      <c r="Y36" s="29"/>
      <c r="Z36" s="294"/>
      <c r="AA36" s="1" t="b">
        <f t="shared" si="4"/>
        <v>1</v>
      </c>
      <c r="AB36" s="23">
        <f t="shared" si="5"/>
        <v>0.7</v>
      </c>
      <c r="AC36" s="24" t="b">
        <f t="shared" si="6"/>
        <v>1</v>
      </c>
      <c r="AD36" s="24" t="b">
        <f t="shared" si="7"/>
        <v>1</v>
      </c>
    </row>
    <row r="37" spans="1:31" x14ac:dyDescent="0.25">
      <c r="A37" s="141">
        <v>35</v>
      </c>
      <c r="B37" s="211" t="s">
        <v>375</v>
      </c>
      <c r="C37" s="235" t="s">
        <v>121</v>
      </c>
      <c r="D37" s="180" t="s">
        <v>66</v>
      </c>
      <c r="E37" s="296">
        <v>2608043</v>
      </c>
      <c r="F37" s="180" t="s">
        <v>67</v>
      </c>
      <c r="G37" s="183" t="s">
        <v>376</v>
      </c>
      <c r="H37" s="180" t="s">
        <v>130</v>
      </c>
      <c r="I37" s="186">
        <v>0.186</v>
      </c>
      <c r="J37" s="183" t="s">
        <v>127</v>
      </c>
      <c r="K37" s="196">
        <v>1782933.41</v>
      </c>
      <c r="L37" s="189">
        <v>1426346</v>
      </c>
      <c r="M37" s="189">
        <v>356587.41</v>
      </c>
      <c r="N37" s="191">
        <v>0.8</v>
      </c>
      <c r="O37" s="193">
        <v>0</v>
      </c>
      <c r="P37" s="193">
        <v>0</v>
      </c>
      <c r="Q37" s="194">
        <v>0</v>
      </c>
      <c r="R37" s="194">
        <v>0</v>
      </c>
      <c r="S37" s="194">
        <v>0</v>
      </c>
      <c r="T37" s="213">
        <v>0</v>
      </c>
      <c r="U37" s="233">
        <v>0</v>
      </c>
      <c r="V37" s="209">
        <v>1426346</v>
      </c>
      <c r="W37" s="29"/>
      <c r="X37" s="29"/>
      <c r="Y37" s="29"/>
      <c r="Z37" s="294"/>
      <c r="AA37" s="1" t="b">
        <f t="shared" si="4"/>
        <v>1</v>
      </c>
      <c r="AB37" s="23">
        <f t="shared" si="5"/>
        <v>0.8</v>
      </c>
      <c r="AC37" s="24" t="b">
        <f t="shared" si="6"/>
        <v>1</v>
      </c>
      <c r="AD37" s="24" t="b">
        <f t="shared" si="7"/>
        <v>1</v>
      </c>
    </row>
    <row r="38" spans="1:31" ht="24" x14ac:dyDescent="0.25">
      <c r="A38" s="141">
        <v>36</v>
      </c>
      <c r="B38" s="211" t="s">
        <v>377</v>
      </c>
      <c r="C38" s="235" t="s">
        <v>121</v>
      </c>
      <c r="D38" s="180" t="s">
        <v>186</v>
      </c>
      <c r="E38" s="296">
        <v>2611011</v>
      </c>
      <c r="F38" s="180" t="s">
        <v>487</v>
      </c>
      <c r="G38" s="183" t="s">
        <v>378</v>
      </c>
      <c r="H38" s="180" t="s">
        <v>49</v>
      </c>
      <c r="I38" s="186">
        <v>0.17100000000000001</v>
      </c>
      <c r="J38" s="183" t="s">
        <v>124</v>
      </c>
      <c r="K38" s="196">
        <v>1632281.69</v>
      </c>
      <c r="L38" s="189">
        <v>1142597</v>
      </c>
      <c r="M38" s="189">
        <v>489684.69</v>
      </c>
      <c r="N38" s="191">
        <v>0.7</v>
      </c>
      <c r="O38" s="193">
        <v>0</v>
      </c>
      <c r="P38" s="193">
        <v>0</v>
      </c>
      <c r="Q38" s="194">
        <v>0</v>
      </c>
      <c r="R38" s="194">
        <v>0</v>
      </c>
      <c r="S38" s="194">
        <v>0</v>
      </c>
      <c r="T38" s="213">
        <v>0</v>
      </c>
      <c r="U38" s="233">
        <v>0</v>
      </c>
      <c r="V38" s="209">
        <v>1142597</v>
      </c>
      <c r="W38" s="29"/>
      <c r="X38" s="29"/>
      <c r="Y38" s="29"/>
      <c r="Z38" s="294"/>
      <c r="AA38" s="1" t="b">
        <f t="shared" si="4"/>
        <v>1</v>
      </c>
      <c r="AB38" s="23">
        <f t="shared" si="5"/>
        <v>0.7</v>
      </c>
      <c r="AC38" s="24" t="b">
        <f t="shared" si="6"/>
        <v>1</v>
      </c>
      <c r="AD38" s="24" t="b">
        <f t="shared" si="7"/>
        <v>1</v>
      </c>
    </row>
    <row r="39" spans="1:31" x14ac:dyDescent="0.25">
      <c r="A39" s="141">
        <v>37</v>
      </c>
      <c r="B39" s="242" t="s">
        <v>379</v>
      </c>
      <c r="C39" s="177" t="s">
        <v>121</v>
      </c>
      <c r="D39" s="180" t="s">
        <v>380</v>
      </c>
      <c r="E39" s="296">
        <v>2609033</v>
      </c>
      <c r="F39" s="180" t="s">
        <v>491</v>
      </c>
      <c r="G39" s="183" t="s">
        <v>381</v>
      </c>
      <c r="H39" s="180" t="s">
        <v>49</v>
      </c>
      <c r="I39" s="186">
        <v>0.155</v>
      </c>
      <c r="J39" s="183" t="s">
        <v>325</v>
      </c>
      <c r="K39" s="196">
        <v>1643804.24</v>
      </c>
      <c r="L39" s="189">
        <v>1315043</v>
      </c>
      <c r="M39" s="189">
        <v>328761.24</v>
      </c>
      <c r="N39" s="191">
        <v>0.8</v>
      </c>
      <c r="O39" s="193">
        <v>0</v>
      </c>
      <c r="P39" s="193">
        <v>0</v>
      </c>
      <c r="Q39" s="194">
        <v>0</v>
      </c>
      <c r="R39" s="194">
        <v>0</v>
      </c>
      <c r="S39" s="194">
        <v>0</v>
      </c>
      <c r="T39" s="213">
        <v>0</v>
      </c>
      <c r="U39" s="233">
        <v>0</v>
      </c>
      <c r="V39" s="209">
        <v>1315043</v>
      </c>
      <c r="W39" s="29"/>
      <c r="X39" s="29"/>
      <c r="Y39" s="29"/>
      <c r="Z39" s="294"/>
      <c r="AA39" s="1" t="b">
        <f t="shared" si="4"/>
        <v>1</v>
      </c>
      <c r="AB39" s="23">
        <f t="shared" si="5"/>
        <v>0.8</v>
      </c>
      <c r="AC39" s="24" t="b">
        <f t="shared" si="6"/>
        <v>1</v>
      </c>
      <c r="AD39" s="24" t="b">
        <f t="shared" si="7"/>
        <v>1</v>
      </c>
    </row>
    <row r="40" spans="1:31" x14ac:dyDescent="0.25">
      <c r="A40" s="141">
        <v>38</v>
      </c>
      <c r="B40" s="242" t="s">
        <v>384</v>
      </c>
      <c r="C40" s="177" t="s">
        <v>121</v>
      </c>
      <c r="D40" s="180" t="s">
        <v>385</v>
      </c>
      <c r="E40" s="296">
        <v>2612073</v>
      </c>
      <c r="F40" s="180" t="s">
        <v>488</v>
      </c>
      <c r="G40" s="183" t="s">
        <v>386</v>
      </c>
      <c r="H40" s="180" t="s">
        <v>49</v>
      </c>
      <c r="I40" s="186">
        <v>9.6000000000000002E-2</v>
      </c>
      <c r="J40" s="183" t="s">
        <v>352</v>
      </c>
      <c r="K40" s="196">
        <v>904383.18</v>
      </c>
      <c r="L40" s="189">
        <v>723506</v>
      </c>
      <c r="M40" s="189">
        <v>180877.18</v>
      </c>
      <c r="N40" s="191">
        <v>0.8</v>
      </c>
      <c r="O40" s="193">
        <v>0</v>
      </c>
      <c r="P40" s="193">
        <v>0</v>
      </c>
      <c r="Q40" s="194">
        <v>0</v>
      </c>
      <c r="R40" s="194">
        <v>0</v>
      </c>
      <c r="S40" s="194">
        <v>0</v>
      </c>
      <c r="T40" s="213">
        <v>0</v>
      </c>
      <c r="U40" s="233">
        <v>0</v>
      </c>
      <c r="V40" s="209">
        <v>723506</v>
      </c>
      <c r="W40" s="29"/>
      <c r="X40" s="29"/>
      <c r="Y40" s="29"/>
      <c r="Z40" s="295"/>
      <c r="AA40" s="1" t="b">
        <f t="shared" si="4"/>
        <v>1</v>
      </c>
      <c r="AB40" s="23">
        <f t="shared" si="5"/>
        <v>0.8</v>
      </c>
      <c r="AC40" s="24" t="b">
        <f t="shared" si="6"/>
        <v>1</v>
      </c>
      <c r="AD40" s="24" t="b">
        <f t="shared" si="7"/>
        <v>1</v>
      </c>
    </row>
    <row r="41" spans="1:31" ht="36" x14ac:dyDescent="0.25">
      <c r="A41" s="141">
        <v>39</v>
      </c>
      <c r="B41" s="211" t="s">
        <v>387</v>
      </c>
      <c r="C41" s="177" t="s">
        <v>121</v>
      </c>
      <c r="D41" s="180" t="s">
        <v>388</v>
      </c>
      <c r="E41" s="296">
        <v>2609082</v>
      </c>
      <c r="F41" s="180" t="s">
        <v>491</v>
      </c>
      <c r="G41" s="183" t="s">
        <v>389</v>
      </c>
      <c r="H41" s="180" t="s">
        <v>130</v>
      </c>
      <c r="I41" s="186">
        <v>2.8660000000000001</v>
      </c>
      <c r="J41" s="183" t="s">
        <v>242</v>
      </c>
      <c r="K41" s="196">
        <v>4682720.83</v>
      </c>
      <c r="L41" s="189">
        <v>3277904</v>
      </c>
      <c r="M41" s="189">
        <v>1404816.83</v>
      </c>
      <c r="N41" s="191">
        <v>0.7</v>
      </c>
      <c r="O41" s="193">
        <v>0</v>
      </c>
      <c r="P41" s="193">
        <v>0</v>
      </c>
      <c r="Q41" s="194">
        <v>0</v>
      </c>
      <c r="R41" s="194">
        <v>0</v>
      </c>
      <c r="S41" s="194">
        <v>0</v>
      </c>
      <c r="T41" s="213">
        <v>0</v>
      </c>
      <c r="U41" s="233">
        <v>0</v>
      </c>
      <c r="V41" s="209">
        <v>3277904</v>
      </c>
      <c r="W41" s="29"/>
      <c r="X41" s="29"/>
      <c r="Y41" s="29"/>
      <c r="Z41" s="295"/>
      <c r="AA41" s="1" t="b">
        <f t="shared" si="4"/>
        <v>1</v>
      </c>
      <c r="AB41" s="23">
        <f t="shared" si="5"/>
        <v>0.7</v>
      </c>
      <c r="AC41" s="24" t="b">
        <f t="shared" si="6"/>
        <v>1</v>
      </c>
      <c r="AD41" s="24" t="b">
        <f t="shared" si="7"/>
        <v>1</v>
      </c>
    </row>
    <row r="42" spans="1:31" x14ac:dyDescent="0.25">
      <c r="A42" s="141">
        <v>40</v>
      </c>
      <c r="B42" s="211" t="s">
        <v>390</v>
      </c>
      <c r="C42" s="177" t="s">
        <v>121</v>
      </c>
      <c r="D42" s="180" t="s">
        <v>323</v>
      </c>
      <c r="E42" s="296">
        <v>2612043</v>
      </c>
      <c r="F42" s="180" t="s">
        <v>488</v>
      </c>
      <c r="G42" s="183" t="s">
        <v>391</v>
      </c>
      <c r="H42" s="180" t="s">
        <v>130</v>
      </c>
      <c r="I42" s="186">
        <v>1.19</v>
      </c>
      <c r="J42" s="183" t="s">
        <v>325</v>
      </c>
      <c r="K42" s="196">
        <v>534616.49</v>
      </c>
      <c r="L42" s="189">
        <v>374231</v>
      </c>
      <c r="M42" s="189">
        <v>160385.49</v>
      </c>
      <c r="N42" s="191">
        <v>0.7</v>
      </c>
      <c r="O42" s="193">
        <v>0</v>
      </c>
      <c r="P42" s="193">
        <v>0</v>
      </c>
      <c r="Q42" s="194">
        <v>0</v>
      </c>
      <c r="R42" s="194">
        <v>0</v>
      </c>
      <c r="S42" s="194">
        <v>0</v>
      </c>
      <c r="T42" s="213">
        <v>0</v>
      </c>
      <c r="U42" s="233">
        <v>0</v>
      </c>
      <c r="V42" s="209">
        <v>374231</v>
      </c>
      <c r="W42" s="29"/>
      <c r="X42" s="29"/>
      <c r="Y42" s="29"/>
      <c r="Z42" s="295"/>
      <c r="AA42" s="1" t="b">
        <f t="shared" si="4"/>
        <v>1</v>
      </c>
      <c r="AB42" s="23">
        <f t="shared" si="5"/>
        <v>0.7</v>
      </c>
      <c r="AC42" s="24" t="b">
        <f t="shared" si="6"/>
        <v>1</v>
      </c>
      <c r="AD42" s="24" t="b">
        <f t="shared" si="7"/>
        <v>1</v>
      </c>
    </row>
    <row r="43" spans="1:31" ht="24" x14ac:dyDescent="0.25">
      <c r="A43" s="141">
        <v>41</v>
      </c>
      <c r="B43" s="211" t="s">
        <v>392</v>
      </c>
      <c r="C43" s="177" t="s">
        <v>121</v>
      </c>
      <c r="D43" s="180" t="s">
        <v>228</v>
      </c>
      <c r="E43" s="296">
        <v>2601083</v>
      </c>
      <c r="F43" s="180" t="s">
        <v>63</v>
      </c>
      <c r="G43" s="183" t="s">
        <v>393</v>
      </c>
      <c r="H43" s="180" t="s">
        <v>50</v>
      </c>
      <c r="I43" s="186">
        <v>0.99</v>
      </c>
      <c r="J43" s="183" t="s">
        <v>204</v>
      </c>
      <c r="K43" s="196">
        <v>846609.73</v>
      </c>
      <c r="L43" s="189">
        <v>592626</v>
      </c>
      <c r="M43" s="189">
        <v>253983.73</v>
      </c>
      <c r="N43" s="191">
        <v>0.7</v>
      </c>
      <c r="O43" s="193">
        <v>0</v>
      </c>
      <c r="P43" s="193">
        <v>0</v>
      </c>
      <c r="Q43" s="194">
        <v>0</v>
      </c>
      <c r="R43" s="194">
        <v>0</v>
      </c>
      <c r="S43" s="194">
        <v>0</v>
      </c>
      <c r="T43" s="213">
        <v>0</v>
      </c>
      <c r="U43" s="233">
        <v>0</v>
      </c>
      <c r="V43" s="209">
        <v>592626</v>
      </c>
      <c r="W43" s="29"/>
      <c r="X43" s="29"/>
      <c r="Y43" s="29"/>
      <c r="Z43" s="295"/>
      <c r="AA43" s="1" t="b">
        <f t="shared" si="4"/>
        <v>1</v>
      </c>
      <c r="AB43" s="23">
        <f t="shared" si="5"/>
        <v>0.7</v>
      </c>
      <c r="AC43" s="24" t="b">
        <f t="shared" si="6"/>
        <v>1</v>
      </c>
      <c r="AD43" s="24" t="b">
        <f t="shared" si="7"/>
        <v>1</v>
      </c>
    </row>
    <row r="44" spans="1:31" ht="24" x14ac:dyDescent="0.25">
      <c r="A44" s="141">
        <v>42</v>
      </c>
      <c r="B44" s="242" t="s">
        <v>394</v>
      </c>
      <c r="C44" s="177" t="s">
        <v>121</v>
      </c>
      <c r="D44" s="180" t="s">
        <v>395</v>
      </c>
      <c r="E44" s="296">
        <v>2604012</v>
      </c>
      <c r="F44" s="180" t="s">
        <v>60</v>
      </c>
      <c r="G44" s="183" t="s">
        <v>396</v>
      </c>
      <c r="H44" s="180" t="s">
        <v>130</v>
      </c>
      <c r="I44" s="186">
        <v>0.93</v>
      </c>
      <c r="J44" s="183" t="s">
        <v>124</v>
      </c>
      <c r="K44" s="196">
        <v>1695803.01</v>
      </c>
      <c r="L44" s="189">
        <v>1187062</v>
      </c>
      <c r="M44" s="189">
        <v>508741.01</v>
      </c>
      <c r="N44" s="191">
        <v>0.7</v>
      </c>
      <c r="O44" s="193">
        <v>0</v>
      </c>
      <c r="P44" s="193">
        <v>0</v>
      </c>
      <c r="Q44" s="194">
        <v>0</v>
      </c>
      <c r="R44" s="194">
        <v>0</v>
      </c>
      <c r="S44" s="194">
        <v>0</v>
      </c>
      <c r="T44" s="213">
        <v>0</v>
      </c>
      <c r="U44" s="233">
        <v>0</v>
      </c>
      <c r="V44" s="209">
        <v>1187062</v>
      </c>
      <c r="W44" s="29"/>
      <c r="X44" s="29"/>
      <c r="Y44" s="29"/>
      <c r="Z44" s="295"/>
      <c r="AA44" s="1" t="b">
        <f t="shared" si="4"/>
        <v>1</v>
      </c>
      <c r="AB44" s="23">
        <f t="shared" si="5"/>
        <v>0.7</v>
      </c>
      <c r="AC44" s="24" t="b">
        <f t="shared" si="6"/>
        <v>1</v>
      </c>
      <c r="AD44" s="24" t="b">
        <f t="shared" si="7"/>
        <v>1</v>
      </c>
    </row>
    <row r="45" spans="1:31" ht="24" x14ac:dyDescent="0.25">
      <c r="A45" s="141">
        <v>43</v>
      </c>
      <c r="B45" s="242" t="s">
        <v>399</v>
      </c>
      <c r="C45" s="177" t="s">
        <v>121</v>
      </c>
      <c r="D45" s="180" t="s">
        <v>400</v>
      </c>
      <c r="E45" s="296">
        <v>2606062</v>
      </c>
      <c r="F45" s="180" t="s">
        <v>70</v>
      </c>
      <c r="G45" s="183" t="s">
        <v>401</v>
      </c>
      <c r="H45" s="180" t="s">
        <v>50</v>
      </c>
      <c r="I45" s="186">
        <v>0.57999999999999996</v>
      </c>
      <c r="J45" s="183" t="s">
        <v>402</v>
      </c>
      <c r="K45" s="196">
        <v>827351.37</v>
      </c>
      <c r="L45" s="189">
        <v>661881</v>
      </c>
      <c r="M45" s="189">
        <v>165470.37</v>
      </c>
      <c r="N45" s="191">
        <v>0.8</v>
      </c>
      <c r="O45" s="193">
        <v>0</v>
      </c>
      <c r="P45" s="193">
        <v>0</v>
      </c>
      <c r="Q45" s="194">
        <v>0</v>
      </c>
      <c r="R45" s="194">
        <v>0</v>
      </c>
      <c r="S45" s="194">
        <v>0</v>
      </c>
      <c r="T45" s="213">
        <v>0</v>
      </c>
      <c r="U45" s="233">
        <v>0</v>
      </c>
      <c r="V45" s="209">
        <v>661881</v>
      </c>
      <c r="W45" s="29"/>
      <c r="X45" s="29"/>
      <c r="Y45" s="29"/>
      <c r="Z45" s="295"/>
      <c r="AA45" s="1" t="b">
        <f t="shared" si="4"/>
        <v>1</v>
      </c>
      <c r="AB45" s="23">
        <f t="shared" si="5"/>
        <v>0.8</v>
      </c>
      <c r="AC45" s="24" t="b">
        <f t="shared" si="6"/>
        <v>1</v>
      </c>
      <c r="AD45" s="24" t="b">
        <f t="shared" si="7"/>
        <v>1</v>
      </c>
    </row>
    <row r="46" spans="1:31" ht="24" x14ac:dyDescent="0.25">
      <c r="A46" s="141">
        <v>44</v>
      </c>
      <c r="B46" s="242" t="s">
        <v>405</v>
      </c>
      <c r="C46" s="177" t="s">
        <v>121</v>
      </c>
      <c r="D46" s="180" t="s">
        <v>360</v>
      </c>
      <c r="E46" s="296">
        <v>2606023</v>
      </c>
      <c r="F46" s="180" t="s">
        <v>70</v>
      </c>
      <c r="G46" s="183" t="s">
        <v>406</v>
      </c>
      <c r="H46" s="180" t="s">
        <v>130</v>
      </c>
      <c r="I46" s="186">
        <v>0.55000000000000004</v>
      </c>
      <c r="J46" s="183" t="s">
        <v>146</v>
      </c>
      <c r="K46" s="196">
        <v>433935.66</v>
      </c>
      <c r="L46" s="189">
        <v>303754</v>
      </c>
      <c r="M46" s="189">
        <v>130181.66</v>
      </c>
      <c r="N46" s="191">
        <v>0.7</v>
      </c>
      <c r="O46" s="193">
        <v>0</v>
      </c>
      <c r="P46" s="193">
        <v>0</v>
      </c>
      <c r="Q46" s="194">
        <v>0</v>
      </c>
      <c r="R46" s="194">
        <v>0</v>
      </c>
      <c r="S46" s="194">
        <v>0</v>
      </c>
      <c r="T46" s="213">
        <v>0</v>
      </c>
      <c r="U46" s="233">
        <v>0</v>
      </c>
      <c r="V46" s="209">
        <v>303754</v>
      </c>
      <c r="W46" s="29"/>
      <c r="X46" s="29"/>
      <c r="Y46" s="29"/>
      <c r="Z46" s="295"/>
      <c r="AA46" s="1" t="b">
        <f t="shared" si="4"/>
        <v>1</v>
      </c>
      <c r="AB46" s="23">
        <f t="shared" si="5"/>
        <v>0.7</v>
      </c>
      <c r="AC46" s="24" t="b">
        <f t="shared" si="6"/>
        <v>1</v>
      </c>
      <c r="AD46" s="24" t="b">
        <f t="shared" si="7"/>
        <v>1</v>
      </c>
    </row>
    <row r="47" spans="1:31" ht="24" x14ac:dyDescent="0.25">
      <c r="A47" s="141">
        <v>45</v>
      </c>
      <c r="B47" s="211" t="s">
        <v>407</v>
      </c>
      <c r="C47" s="177" t="s">
        <v>121</v>
      </c>
      <c r="D47" s="180" t="s">
        <v>231</v>
      </c>
      <c r="E47" s="296">
        <v>2609011</v>
      </c>
      <c r="F47" s="180" t="s">
        <v>491</v>
      </c>
      <c r="G47" s="183" t="s">
        <v>408</v>
      </c>
      <c r="H47" s="180" t="s">
        <v>130</v>
      </c>
      <c r="I47" s="186">
        <v>0.41</v>
      </c>
      <c r="J47" s="183" t="s">
        <v>127</v>
      </c>
      <c r="K47" s="196">
        <v>3314530.84</v>
      </c>
      <c r="L47" s="189">
        <v>2320171</v>
      </c>
      <c r="M47" s="189">
        <v>994359.84</v>
      </c>
      <c r="N47" s="191">
        <v>0.7</v>
      </c>
      <c r="O47" s="193">
        <v>0</v>
      </c>
      <c r="P47" s="193">
        <v>0</v>
      </c>
      <c r="Q47" s="194">
        <v>0</v>
      </c>
      <c r="R47" s="194">
        <v>0</v>
      </c>
      <c r="S47" s="194">
        <v>0</v>
      </c>
      <c r="T47" s="213">
        <v>0</v>
      </c>
      <c r="U47" s="233">
        <v>0</v>
      </c>
      <c r="V47" s="209">
        <v>2320171</v>
      </c>
      <c r="W47" s="29"/>
      <c r="X47" s="29"/>
      <c r="Y47" s="29"/>
      <c r="Z47" s="295"/>
      <c r="AA47" s="1" t="b">
        <f t="shared" si="4"/>
        <v>1</v>
      </c>
      <c r="AB47" s="23">
        <f t="shared" si="5"/>
        <v>0.7</v>
      </c>
      <c r="AC47" s="24" t="b">
        <f t="shared" si="6"/>
        <v>1</v>
      </c>
      <c r="AD47" s="24" t="b">
        <f t="shared" si="7"/>
        <v>1</v>
      </c>
    </row>
    <row r="48" spans="1:31" ht="48" x14ac:dyDescent="0.25">
      <c r="A48" s="141">
        <v>46</v>
      </c>
      <c r="B48" s="242" t="s">
        <v>409</v>
      </c>
      <c r="C48" s="177" t="s">
        <v>121</v>
      </c>
      <c r="D48" s="180" t="s">
        <v>314</v>
      </c>
      <c r="E48" s="296">
        <v>2607043</v>
      </c>
      <c r="F48" s="180" t="s">
        <v>486</v>
      </c>
      <c r="G48" s="183" t="s">
        <v>410</v>
      </c>
      <c r="H48" s="180" t="s">
        <v>50</v>
      </c>
      <c r="I48" s="186">
        <v>0.33700000000000002</v>
      </c>
      <c r="J48" s="183" t="s">
        <v>316</v>
      </c>
      <c r="K48" s="196">
        <v>1766253.28</v>
      </c>
      <c r="L48" s="189">
        <v>1413002</v>
      </c>
      <c r="M48" s="189">
        <v>353251.28</v>
      </c>
      <c r="N48" s="191">
        <v>0.8</v>
      </c>
      <c r="O48" s="193">
        <v>0</v>
      </c>
      <c r="P48" s="193">
        <v>0</v>
      </c>
      <c r="Q48" s="194">
        <v>0</v>
      </c>
      <c r="R48" s="194">
        <v>0</v>
      </c>
      <c r="S48" s="194">
        <v>0</v>
      </c>
      <c r="T48" s="213">
        <v>0</v>
      </c>
      <c r="U48" s="233">
        <v>0</v>
      </c>
      <c r="V48" s="209">
        <v>1413002</v>
      </c>
      <c r="W48" s="29"/>
      <c r="X48" s="29"/>
      <c r="Y48" s="29"/>
      <c r="Z48" s="295"/>
      <c r="AA48" s="1" t="b">
        <f t="shared" si="4"/>
        <v>1</v>
      </c>
      <c r="AB48" s="23">
        <f t="shared" si="5"/>
        <v>0.8</v>
      </c>
      <c r="AC48" s="24" t="b">
        <f t="shared" si="6"/>
        <v>1</v>
      </c>
      <c r="AD48" s="24" t="b">
        <f t="shared" si="7"/>
        <v>1</v>
      </c>
    </row>
    <row r="49" spans="1:30" ht="21" customHeight="1" x14ac:dyDescent="0.25">
      <c r="A49" s="141">
        <v>47</v>
      </c>
      <c r="B49" s="211" t="s">
        <v>411</v>
      </c>
      <c r="C49" s="177" t="s">
        <v>121</v>
      </c>
      <c r="D49" s="180" t="s">
        <v>64</v>
      </c>
      <c r="E49" s="296">
        <v>2605033</v>
      </c>
      <c r="F49" s="180" t="s">
        <v>65</v>
      </c>
      <c r="G49" s="183" t="s">
        <v>412</v>
      </c>
      <c r="H49" s="180" t="s">
        <v>50</v>
      </c>
      <c r="I49" s="186">
        <v>0.33500000000000002</v>
      </c>
      <c r="J49" s="183" t="s">
        <v>167</v>
      </c>
      <c r="K49" s="196">
        <v>1220026.8799999999</v>
      </c>
      <c r="L49" s="189">
        <v>976021</v>
      </c>
      <c r="M49" s="189">
        <v>244005.88</v>
      </c>
      <c r="N49" s="191">
        <v>0.8</v>
      </c>
      <c r="O49" s="193">
        <v>0</v>
      </c>
      <c r="P49" s="193">
        <v>0</v>
      </c>
      <c r="Q49" s="194">
        <v>0</v>
      </c>
      <c r="R49" s="194">
        <v>0</v>
      </c>
      <c r="S49" s="194">
        <v>0</v>
      </c>
      <c r="T49" s="213">
        <v>0</v>
      </c>
      <c r="U49" s="233">
        <v>0</v>
      </c>
      <c r="V49" s="209">
        <v>976021</v>
      </c>
      <c r="W49" s="29"/>
      <c r="X49" s="29"/>
      <c r="Y49" s="29"/>
      <c r="Z49" s="295"/>
      <c r="AA49" s="1" t="b">
        <f t="shared" si="4"/>
        <v>1</v>
      </c>
      <c r="AB49" s="23">
        <f t="shared" si="5"/>
        <v>0.8</v>
      </c>
      <c r="AC49" s="24" t="b">
        <f t="shared" si="6"/>
        <v>1</v>
      </c>
      <c r="AD49" s="24" t="b">
        <f t="shared" si="7"/>
        <v>1</v>
      </c>
    </row>
    <row r="50" spans="1:30" ht="15" customHeight="1" x14ac:dyDescent="0.25">
      <c r="A50" s="141">
        <v>48</v>
      </c>
      <c r="B50" s="211" t="s">
        <v>413</v>
      </c>
      <c r="C50" s="177" t="s">
        <v>121</v>
      </c>
      <c r="D50" s="180" t="s">
        <v>66</v>
      </c>
      <c r="E50" s="296">
        <v>2608043</v>
      </c>
      <c r="F50" s="180" t="s">
        <v>67</v>
      </c>
      <c r="G50" s="183" t="s">
        <v>414</v>
      </c>
      <c r="H50" s="180" t="s">
        <v>130</v>
      </c>
      <c r="I50" s="186">
        <v>0.30199999999999999</v>
      </c>
      <c r="J50" s="183" t="s">
        <v>127</v>
      </c>
      <c r="K50" s="196">
        <v>522007.21</v>
      </c>
      <c r="L50" s="189">
        <v>417605</v>
      </c>
      <c r="M50" s="189">
        <v>104402.21</v>
      </c>
      <c r="N50" s="191">
        <v>0.8</v>
      </c>
      <c r="O50" s="193">
        <v>0</v>
      </c>
      <c r="P50" s="193">
        <v>0</v>
      </c>
      <c r="Q50" s="194">
        <v>0</v>
      </c>
      <c r="R50" s="194">
        <v>0</v>
      </c>
      <c r="S50" s="194">
        <v>0</v>
      </c>
      <c r="T50" s="213">
        <v>0</v>
      </c>
      <c r="U50" s="233">
        <v>0</v>
      </c>
      <c r="V50" s="209">
        <v>417605</v>
      </c>
      <c r="W50" s="29"/>
      <c r="X50" s="29"/>
      <c r="Y50" s="29"/>
      <c r="Z50" s="295"/>
      <c r="AA50" s="1" t="b">
        <f t="shared" si="4"/>
        <v>1</v>
      </c>
      <c r="AB50" s="23">
        <f t="shared" si="5"/>
        <v>0.8</v>
      </c>
      <c r="AC50" s="24" t="b">
        <f t="shared" si="6"/>
        <v>1</v>
      </c>
      <c r="AD50" s="24" t="b">
        <f t="shared" si="7"/>
        <v>1</v>
      </c>
    </row>
    <row r="51" spans="1:30" ht="48" x14ac:dyDescent="0.25">
      <c r="A51" s="141">
        <v>49</v>
      </c>
      <c r="B51" s="242" t="s">
        <v>417</v>
      </c>
      <c r="C51" s="177" t="s">
        <v>121</v>
      </c>
      <c r="D51" s="180" t="s">
        <v>314</v>
      </c>
      <c r="E51" s="296">
        <v>2607043</v>
      </c>
      <c r="F51" s="180" t="s">
        <v>486</v>
      </c>
      <c r="G51" s="183" t="s">
        <v>418</v>
      </c>
      <c r="H51" s="180" t="s">
        <v>50</v>
      </c>
      <c r="I51" s="186">
        <v>0.161</v>
      </c>
      <c r="J51" s="183" t="s">
        <v>316</v>
      </c>
      <c r="K51" s="196">
        <v>1435959.36</v>
      </c>
      <c r="L51" s="189">
        <v>1148767</v>
      </c>
      <c r="M51" s="189">
        <v>287192.36</v>
      </c>
      <c r="N51" s="191">
        <v>0.8</v>
      </c>
      <c r="O51" s="193">
        <v>0</v>
      </c>
      <c r="P51" s="193">
        <v>0</v>
      </c>
      <c r="Q51" s="194">
        <v>0</v>
      </c>
      <c r="R51" s="194">
        <v>0</v>
      </c>
      <c r="S51" s="194">
        <v>0</v>
      </c>
      <c r="T51" s="213">
        <v>0</v>
      </c>
      <c r="U51" s="233">
        <v>0</v>
      </c>
      <c r="V51" s="209">
        <v>1148767</v>
      </c>
      <c r="W51" s="209"/>
      <c r="X51" s="29"/>
      <c r="Y51" s="29"/>
      <c r="Z51" s="295"/>
      <c r="AA51" s="1" t="b">
        <f t="shared" si="4"/>
        <v>1</v>
      </c>
      <c r="AB51" s="23">
        <f t="shared" si="5"/>
        <v>0.8</v>
      </c>
      <c r="AC51" s="24" t="b">
        <f t="shared" si="6"/>
        <v>1</v>
      </c>
      <c r="AD51" s="24" t="b">
        <f t="shared" si="7"/>
        <v>1</v>
      </c>
    </row>
    <row r="52" spans="1:30" ht="24.75" customHeight="1" x14ac:dyDescent="0.25">
      <c r="A52" s="141">
        <v>50</v>
      </c>
      <c r="B52" s="211" t="s">
        <v>419</v>
      </c>
      <c r="C52" s="177" t="s">
        <v>121</v>
      </c>
      <c r="D52" s="180" t="s">
        <v>420</v>
      </c>
      <c r="E52" s="296">
        <v>2613063</v>
      </c>
      <c r="F52" s="180" t="s">
        <v>492</v>
      </c>
      <c r="G52" s="183" t="s">
        <v>421</v>
      </c>
      <c r="H52" s="180" t="s">
        <v>50</v>
      </c>
      <c r="I52" s="186">
        <v>0.11700000000000001</v>
      </c>
      <c r="J52" s="183" t="s">
        <v>352</v>
      </c>
      <c r="K52" s="196">
        <v>1172811.6200000001</v>
      </c>
      <c r="L52" s="189">
        <v>703686</v>
      </c>
      <c r="M52" s="189">
        <v>469125.62</v>
      </c>
      <c r="N52" s="191">
        <v>0.6</v>
      </c>
      <c r="O52" s="193">
        <v>0</v>
      </c>
      <c r="P52" s="193">
        <v>0</v>
      </c>
      <c r="Q52" s="194">
        <v>0</v>
      </c>
      <c r="R52" s="194">
        <v>0</v>
      </c>
      <c r="S52" s="194">
        <v>0</v>
      </c>
      <c r="T52" s="213">
        <v>0</v>
      </c>
      <c r="U52" s="233">
        <v>0</v>
      </c>
      <c r="V52" s="209">
        <v>703686</v>
      </c>
      <c r="W52" s="29"/>
      <c r="X52" s="29"/>
      <c r="Y52" s="29"/>
      <c r="Z52" s="295"/>
      <c r="AA52" s="1" t="b">
        <f t="shared" si="4"/>
        <v>1</v>
      </c>
      <c r="AB52" s="23">
        <f t="shared" si="5"/>
        <v>0.6</v>
      </c>
      <c r="AC52" s="24" t="b">
        <f t="shared" si="6"/>
        <v>1</v>
      </c>
      <c r="AD52" s="24" t="b">
        <f t="shared" si="7"/>
        <v>1</v>
      </c>
    </row>
    <row r="53" spans="1:30" ht="24" x14ac:dyDescent="0.25">
      <c r="A53" s="141">
        <v>51</v>
      </c>
      <c r="B53" s="211" t="s">
        <v>422</v>
      </c>
      <c r="C53" s="177" t="s">
        <v>121</v>
      </c>
      <c r="D53" s="180" t="s">
        <v>360</v>
      </c>
      <c r="E53" s="296">
        <v>2606023</v>
      </c>
      <c r="F53" s="180" t="s">
        <v>70</v>
      </c>
      <c r="G53" s="183" t="s">
        <v>423</v>
      </c>
      <c r="H53" s="180" t="s">
        <v>130</v>
      </c>
      <c r="I53" s="186">
        <v>1.325</v>
      </c>
      <c r="J53" s="183" t="s">
        <v>146</v>
      </c>
      <c r="K53" s="196">
        <v>1370519.84</v>
      </c>
      <c r="L53" s="189">
        <v>959363</v>
      </c>
      <c r="M53" s="189">
        <v>411156.84</v>
      </c>
      <c r="N53" s="191">
        <v>0.7</v>
      </c>
      <c r="O53" s="193">
        <v>0</v>
      </c>
      <c r="P53" s="193">
        <v>0</v>
      </c>
      <c r="Q53" s="194">
        <v>0</v>
      </c>
      <c r="R53" s="194">
        <v>0</v>
      </c>
      <c r="S53" s="194">
        <v>0</v>
      </c>
      <c r="T53" s="213">
        <v>0</v>
      </c>
      <c r="U53" s="233">
        <v>0</v>
      </c>
      <c r="V53" s="209">
        <v>959363</v>
      </c>
      <c r="W53" s="29"/>
      <c r="X53" s="29"/>
      <c r="Y53" s="29"/>
      <c r="Z53" s="295"/>
      <c r="AA53" s="1" t="b">
        <f t="shared" si="4"/>
        <v>1</v>
      </c>
      <c r="AB53" s="23">
        <f t="shared" si="5"/>
        <v>0.7</v>
      </c>
      <c r="AC53" s="24" t="b">
        <f t="shared" si="6"/>
        <v>1</v>
      </c>
      <c r="AD53" s="24" t="b">
        <f t="shared" si="7"/>
        <v>1</v>
      </c>
    </row>
    <row r="54" spans="1:30" ht="36" x14ac:dyDescent="0.25">
      <c r="A54" s="141">
        <v>52</v>
      </c>
      <c r="B54" s="242" t="s">
        <v>424</v>
      </c>
      <c r="C54" s="177" t="s">
        <v>121</v>
      </c>
      <c r="D54" s="180" t="s">
        <v>329</v>
      </c>
      <c r="E54" s="296">
        <v>2609062</v>
      </c>
      <c r="F54" s="180" t="s">
        <v>491</v>
      </c>
      <c r="G54" s="183" t="s">
        <v>425</v>
      </c>
      <c r="H54" s="180" t="s">
        <v>130</v>
      </c>
      <c r="I54" s="186">
        <v>1.056</v>
      </c>
      <c r="J54" s="183" t="s">
        <v>242</v>
      </c>
      <c r="K54" s="196">
        <v>812928.87</v>
      </c>
      <c r="L54" s="189">
        <v>569050</v>
      </c>
      <c r="M54" s="189">
        <v>243878.87</v>
      </c>
      <c r="N54" s="191">
        <v>0.7</v>
      </c>
      <c r="O54" s="193">
        <v>0</v>
      </c>
      <c r="P54" s="193">
        <v>0</v>
      </c>
      <c r="Q54" s="194">
        <v>0</v>
      </c>
      <c r="R54" s="194">
        <v>0</v>
      </c>
      <c r="S54" s="194">
        <v>0</v>
      </c>
      <c r="T54" s="213">
        <v>0</v>
      </c>
      <c r="U54" s="233">
        <v>0</v>
      </c>
      <c r="V54" s="209">
        <v>569050</v>
      </c>
      <c r="W54" s="29"/>
      <c r="X54" s="29"/>
      <c r="Y54" s="29"/>
      <c r="Z54" s="295"/>
      <c r="AA54" s="1" t="b">
        <f t="shared" si="4"/>
        <v>1</v>
      </c>
      <c r="AB54" s="23">
        <f t="shared" si="5"/>
        <v>0.7</v>
      </c>
      <c r="AC54" s="24" t="b">
        <f t="shared" si="6"/>
        <v>1</v>
      </c>
      <c r="AD54" s="24" t="b">
        <f t="shared" si="7"/>
        <v>1</v>
      </c>
    </row>
    <row r="55" spans="1:30" ht="24" x14ac:dyDescent="0.25">
      <c r="A55" s="141">
        <v>53</v>
      </c>
      <c r="B55" s="242" t="s">
        <v>426</v>
      </c>
      <c r="C55" s="177" t="s">
        <v>121</v>
      </c>
      <c r="D55" s="180" t="s">
        <v>62</v>
      </c>
      <c r="E55" s="296">
        <v>2601013</v>
      </c>
      <c r="F55" s="180" t="s">
        <v>63</v>
      </c>
      <c r="G55" s="183" t="s">
        <v>427</v>
      </c>
      <c r="H55" s="180" t="s">
        <v>130</v>
      </c>
      <c r="I55" s="186">
        <v>0.999</v>
      </c>
      <c r="J55" s="183" t="s">
        <v>124</v>
      </c>
      <c r="K55" s="196">
        <v>2451706.0299999998</v>
      </c>
      <c r="L55" s="189">
        <v>1716194</v>
      </c>
      <c r="M55" s="189">
        <v>735512.03</v>
      </c>
      <c r="N55" s="191">
        <v>0.7</v>
      </c>
      <c r="O55" s="193">
        <v>0</v>
      </c>
      <c r="P55" s="193">
        <v>0</v>
      </c>
      <c r="Q55" s="194">
        <v>0</v>
      </c>
      <c r="R55" s="194">
        <v>0</v>
      </c>
      <c r="S55" s="194">
        <v>0</v>
      </c>
      <c r="T55" s="213">
        <v>0</v>
      </c>
      <c r="U55" s="233">
        <v>0</v>
      </c>
      <c r="V55" s="209">
        <v>1716194</v>
      </c>
      <c r="W55" s="29"/>
      <c r="X55" s="29"/>
      <c r="Y55" s="29"/>
      <c r="Z55" s="295"/>
      <c r="AA55" s="1" t="b">
        <f t="shared" si="4"/>
        <v>1</v>
      </c>
      <c r="AB55" s="23">
        <f t="shared" si="5"/>
        <v>0.7</v>
      </c>
      <c r="AC55" s="24" t="b">
        <f t="shared" si="6"/>
        <v>1</v>
      </c>
      <c r="AD55" s="24" t="b">
        <f t="shared" si="7"/>
        <v>1</v>
      </c>
    </row>
    <row r="56" spans="1:30" ht="24" x14ac:dyDescent="0.25">
      <c r="A56" s="141">
        <v>54</v>
      </c>
      <c r="B56" s="242" t="s">
        <v>432</v>
      </c>
      <c r="C56" s="177" t="s">
        <v>121</v>
      </c>
      <c r="D56" s="180" t="s">
        <v>433</v>
      </c>
      <c r="E56" s="296">
        <v>2608032</v>
      </c>
      <c r="F56" s="180" t="s">
        <v>67</v>
      </c>
      <c r="G56" s="183" t="s">
        <v>434</v>
      </c>
      <c r="H56" s="180" t="s">
        <v>130</v>
      </c>
      <c r="I56" s="186">
        <v>0.89</v>
      </c>
      <c r="J56" s="183" t="s">
        <v>325</v>
      </c>
      <c r="K56" s="196">
        <v>428360.91</v>
      </c>
      <c r="L56" s="189">
        <v>299852</v>
      </c>
      <c r="M56" s="189">
        <v>128508.91</v>
      </c>
      <c r="N56" s="191">
        <v>0.7</v>
      </c>
      <c r="O56" s="193">
        <v>0</v>
      </c>
      <c r="P56" s="193">
        <v>0</v>
      </c>
      <c r="Q56" s="194">
        <v>0</v>
      </c>
      <c r="R56" s="194">
        <v>0</v>
      </c>
      <c r="S56" s="194">
        <v>0</v>
      </c>
      <c r="T56" s="213">
        <v>0</v>
      </c>
      <c r="U56" s="233">
        <v>0</v>
      </c>
      <c r="V56" s="209">
        <v>299852</v>
      </c>
      <c r="W56" s="29"/>
      <c r="X56" s="29"/>
      <c r="Y56" s="29"/>
      <c r="Z56" s="295"/>
      <c r="AA56" s="1" t="b">
        <f t="shared" si="4"/>
        <v>1</v>
      </c>
      <c r="AB56" s="23">
        <f t="shared" si="5"/>
        <v>0.7</v>
      </c>
      <c r="AC56" s="24" t="b">
        <f t="shared" si="6"/>
        <v>1</v>
      </c>
      <c r="AD56" s="24" t="b">
        <f t="shared" si="7"/>
        <v>1</v>
      </c>
    </row>
    <row r="57" spans="1:30" ht="36" customHeight="1" x14ac:dyDescent="0.25">
      <c r="A57" s="141">
        <v>55</v>
      </c>
      <c r="B57" s="211" t="s">
        <v>438</v>
      </c>
      <c r="C57" s="177" t="s">
        <v>121</v>
      </c>
      <c r="D57" s="180" t="s">
        <v>329</v>
      </c>
      <c r="E57" s="296">
        <v>2609062</v>
      </c>
      <c r="F57" s="180" t="s">
        <v>491</v>
      </c>
      <c r="G57" s="183" t="s">
        <v>439</v>
      </c>
      <c r="H57" s="180" t="s">
        <v>130</v>
      </c>
      <c r="I57" s="186">
        <v>0.82499999999999996</v>
      </c>
      <c r="J57" s="183" t="s">
        <v>242</v>
      </c>
      <c r="K57" s="196">
        <v>625701.43000000005</v>
      </c>
      <c r="L57" s="189">
        <v>437991</v>
      </c>
      <c r="M57" s="189">
        <v>187710.43</v>
      </c>
      <c r="N57" s="191">
        <v>0.7</v>
      </c>
      <c r="O57" s="193">
        <v>0</v>
      </c>
      <c r="P57" s="193">
        <v>0</v>
      </c>
      <c r="Q57" s="194">
        <v>0</v>
      </c>
      <c r="R57" s="194">
        <v>0</v>
      </c>
      <c r="S57" s="194">
        <v>0</v>
      </c>
      <c r="T57" s="213">
        <v>0</v>
      </c>
      <c r="U57" s="233">
        <v>0</v>
      </c>
      <c r="V57" s="209">
        <v>437991</v>
      </c>
      <c r="W57" s="29"/>
      <c r="X57" s="29"/>
      <c r="Y57" s="29"/>
      <c r="Z57" s="295"/>
      <c r="AA57" s="1" t="b">
        <f t="shared" si="4"/>
        <v>1</v>
      </c>
      <c r="AB57" s="23">
        <f t="shared" si="5"/>
        <v>0.7</v>
      </c>
      <c r="AC57" s="24" t="b">
        <f t="shared" si="6"/>
        <v>1</v>
      </c>
      <c r="AD57" s="24" t="b">
        <f t="shared" si="7"/>
        <v>1</v>
      </c>
    </row>
    <row r="58" spans="1:30" x14ac:dyDescent="0.25">
      <c r="A58" s="141">
        <v>56</v>
      </c>
      <c r="B58" s="211" t="s">
        <v>440</v>
      </c>
      <c r="C58" s="177" t="s">
        <v>121</v>
      </c>
      <c r="D58" s="180" t="s">
        <v>441</v>
      </c>
      <c r="E58" s="296">
        <v>2606043</v>
      </c>
      <c r="F58" s="180" t="s">
        <v>70</v>
      </c>
      <c r="G58" s="183" t="s">
        <v>442</v>
      </c>
      <c r="H58" s="180" t="s">
        <v>130</v>
      </c>
      <c r="I58" s="186">
        <v>0.72</v>
      </c>
      <c r="J58" s="183" t="s">
        <v>242</v>
      </c>
      <c r="K58" s="196">
        <v>965060.88</v>
      </c>
      <c r="L58" s="189">
        <v>675542</v>
      </c>
      <c r="M58" s="189">
        <v>289518.88</v>
      </c>
      <c r="N58" s="191">
        <v>0.7</v>
      </c>
      <c r="O58" s="193">
        <v>0</v>
      </c>
      <c r="P58" s="193">
        <v>0</v>
      </c>
      <c r="Q58" s="194">
        <v>0</v>
      </c>
      <c r="R58" s="194">
        <v>0</v>
      </c>
      <c r="S58" s="194">
        <v>0</v>
      </c>
      <c r="T58" s="213">
        <v>0</v>
      </c>
      <c r="U58" s="233">
        <v>0</v>
      </c>
      <c r="V58" s="209">
        <v>675542</v>
      </c>
      <c r="W58" s="29"/>
      <c r="X58" s="29"/>
      <c r="Y58" s="29"/>
      <c r="Z58" s="295"/>
      <c r="AA58" s="1" t="b">
        <f t="shared" si="4"/>
        <v>1</v>
      </c>
      <c r="AB58" s="23">
        <f t="shared" si="5"/>
        <v>0.7</v>
      </c>
      <c r="AC58" s="24" t="b">
        <f t="shared" si="6"/>
        <v>1</v>
      </c>
      <c r="AD58" s="24" t="b">
        <f t="shared" si="7"/>
        <v>1</v>
      </c>
    </row>
    <row r="59" spans="1:30" x14ac:dyDescent="0.25">
      <c r="A59" s="141">
        <v>57</v>
      </c>
      <c r="B59" s="242" t="s">
        <v>446</v>
      </c>
      <c r="C59" s="177" t="s">
        <v>121</v>
      </c>
      <c r="D59" s="180" t="s">
        <v>309</v>
      </c>
      <c r="E59" s="296">
        <v>2604162</v>
      </c>
      <c r="F59" s="180" t="s">
        <v>60</v>
      </c>
      <c r="G59" s="183" t="s">
        <v>447</v>
      </c>
      <c r="H59" s="180" t="s">
        <v>50</v>
      </c>
      <c r="I59" s="186">
        <v>0.39</v>
      </c>
      <c r="J59" s="183" t="s">
        <v>127</v>
      </c>
      <c r="K59" s="196">
        <v>1373136.02</v>
      </c>
      <c r="L59" s="189">
        <v>1098508</v>
      </c>
      <c r="M59" s="189">
        <v>274628.02</v>
      </c>
      <c r="N59" s="191">
        <v>0.8</v>
      </c>
      <c r="O59" s="193">
        <v>0</v>
      </c>
      <c r="P59" s="193">
        <v>0</v>
      </c>
      <c r="Q59" s="194">
        <v>0</v>
      </c>
      <c r="R59" s="194">
        <v>0</v>
      </c>
      <c r="S59" s="194">
        <v>0</v>
      </c>
      <c r="T59" s="213">
        <v>0</v>
      </c>
      <c r="U59" s="234">
        <v>0</v>
      </c>
      <c r="V59" s="209">
        <v>1098508</v>
      </c>
      <c r="W59" s="29"/>
      <c r="X59" s="29"/>
      <c r="Y59" s="29"/>
      <c r="Z59" s="295"/>
      <c r="AA59" s="1" t="b">
        <f t="shared" si="4"/>
        <v>1</v>
      </c>
      <c r="AB59" s="23">
        <f t="shared" si="5"/>
        <v>0.8</v>
      </c>
      <c r="AC59" s="24" t="b">
        <f t="shared" si="6"/>
        <v>1</v>
      </c>
      <c r="AD59" s="24" t="b">
        <f t="shared" si="7"/>
        <v>1</v>
      </c>
    </row>
    <row r="60" spans="1:30" ht="18.75" customHeight="1" x14ac:dyDescent="0.25">
      <c r="A60" s="141">
        <v>58</v>
      </c>
      <c r="B60" s="242" t="s">
        <v>451</v>
      </c>
      <c r="C60" s="177" t="s">
        <v>121</v>
      </c>
      <c r="D60" s="180" t="s">
        <v>64</v>
      </c>
      <c r="E60" s="296">
        <v>2605033</v>
      </c>
      <c r="F60" s="180" t="s">
        <v>294</v>
      </c>
      <c r="G60" s="183" t="s">
        <v>452</v>
      </c>
      <c r="H60" s="180" t="s">
        <v>50</v>
      </c>
      <c r="I60" s="186">
        <v>0.26</v>
      </c>
      <c r="J60" s="183" t="s">
        <v>167</v>
      </c>
      <c r="K60" s="196">
        <v>1012194.54</v>
      </c>
      <c r="L60" s="189">
        <v>809755</v>
      </c>
      <c r="M60" s="189">
        <v>202439.54</v>
      </c>
      <c r="N60" s="191">
        <v>0.8</v>
      </c>
      <c r="O60" s="193">
        <v>0</v>
      </c>
      <c r="P60" s="193">
        <v>0</v>
      </c>
      <c r="Q60" s="194">
        <v>0</v>
      </c>
      <c r="R60" s="194">
        <v>0</v>
      </c>
      <c r="S60" s="194">
        <v>0</v>
      </c>
      <c r="T60" s="213">
        <v>0</v>
      </c>
      <c r="U60" s="233">
        <v>0</v>
      </c>
      <c r="V60" s="209">
        <v>809755</v>
      </c>
      <c r="W60" s="29"/>
      <c r="X60" s="29"/>
      <c r="Y60" s="29"/>
      <c r="Z60" s="295"/>
      <c r="AA60" s="1" t="b">
        <f t="shared" si="4"/>
        <v>1</v>
      </c>
      <c r="AB60" s="23">
        <f t="shared" si="5"/>
        <v>0.8</v>
      </c>
      <c r="AC60" s="24" t="b">
        <f t="shared" si="6"/>
        <v>1</v>
      </c>
      <c r="AD60" s="24" t="b">
        <f t="shared" si="7"/>
        <v>1</v>
      </c>
    </row>
    <row r="61" spans="1:30" ht="27" customHeight="1" x14ac:dyDescent="0.25">
      <c r="A61" s="141">
        <v>59</v>
      </c>
      <c r="B61" s="242" t="s">
        <v>453</v>
      </c>
      <c r="C61" s="177" t="s">
        <v>121</v>
      </c>
      <c r="D61" s="180" t="s">
        <v>388</v>
      </c>
      <c r="E61" s="296">
        <v>2609082</v>
      </c>
      <c r="F61" s="180" t="s">
        <v>491</v>
      </c>
      <c r="G61" s="183" t="s">
        <v>454</v>
      </c>
      <c r="H61" s="180" t="s">
        <v>130</v>
      </c>
      <c r="I61" s="186">
        <v>0.251</v>
      </c>
      <c r="J61" s="183" t="s">
        <v>242</v>
      </c>
      <c r="K61" s="196">
        <v>465515.55</v>
      </c>
      <c r="L61" s="189">
        <v>325860</v>
      </c>
      <c r="M61" s="189">
        <v>139655.54999999999</v>
      </c>
      <c r="N61" s="191">
        <v>0.7</v>
      </c>
      <c r="O61" s="193">
        <v>0</v>
      </c>
      <c r="P61" s="193">
        <v>0</v>
      </c>
      <c r="Q61" s="194">
        <v>0</v>
      </c>
      <c r="R61" s="194">
        <v>0</v>
      </c>
      <c r="S61" s="194">
        <v>0</v>
      </c>
      <c r="T61" s="213">
        <v>0</v>
      </c>
      <c r="U61" s="233">
        <v>0</v>
      </c>
      <c r="V61" s="209">
        <v>325860</v>
      </c>
      <c r="W61" s="29"/>
      <c r="X61" s="29"/>
      <c r="Y61" s="29"/>
      <c r="Z61" s="295"/>
      <c r="AA61" s="1" t="b">
        <f t="shared" si="4"/>
        <v>1</v>
      </c>
      <c r="AB61" s="23">
        <f t="shared" si="5"/>
        <v>0.7</v>
      </c>
      <c r="AC61" s="24" t="b">
        <f t="shared" si="6"/>
        <v>1</v>
      </c>
      <c r="AD61" s="24" t="b">
        <f t="shared" si="7"/>
        <v>1</v>
      </c>
    </row>
    <row r="62" spans="1:30" x14ac:dyDescent="0.25">
      <c r="A62" s="141">
        <v>60</v>
      </c>
      <c r="B62" s="242" t="s">
        <v>463</v>
      </c>
      <c r="C62" s="177" t="s">
        <v>121</v>
      </c>
      <c r="D62" s="180" t="s">
        <v>290</v>
      </c>
      <c r="E62" s="296">
        <v>2609093</v>
      </c>
      <c r="F62" s="180" t="s">
        <v>491</v>
      </c>
      <c r="G62" s="183" t="s">
        <v>464</v>
      </c>
      <c r="H62" s="180" t="s">
        <v>50</v>
      </c>
      <c r="I62" s="186">
        <v>0.17499999999999999</v>
      </c>
      <c r="J62" s="183" t="s">
        <v>292</v>
      </c>
      <c r="K62" s="196">
        <v>431643.49</v>
      </c>
      <c r="L62" s="189">
        <v>345314</v>
      </c>
      <c r="M62" s="189">
        <v>86329.49</v>
      </c>
      <c r="N62" s="191">
        <v>0.8</v>
      </c>
      <c r="O62" s="193">
        <v>0</v>
      </c>
      <c r="P62" s="193">
        <v>0</v>
      </c>
      <c r="Q62" s="194">
        <v>0</v>
      </c>
      <c r="R62" s="194">
        <v>0</v>
      </c>
      <c r="S62" s="194">
        <v>0</v>
      </c>
      <c r="T62" s="213">
        <v>0</v>
      </c>
      <c r="U62" s="233">
        <v>0</v>
      </c>
      <c r="V62" s="209">
        <v>345314</v>
      </c>
      <c r="W62" s="29"/>
      <c r="X62" s="29"/>
      <c r="Y62" s="29"/>
      <c r="Z62" s="295"/>
      <c r="AA62" s="1" t="b">
        <f t="shared" si="4"/>
        <v>1</v>
      </c>
      <c r="AB62" s="23">
        <f t="shared" si="5"/>
        <v>0.8</v>
      </c>
      <c r="AC62" s="24" t="b">
        <f t="shared" si="6"/>
        <v>1</v>
      </c>
      <c r="AD62" s="24" t="b">
        <f t="shared" si="7"/>
        <v>1</v>
      </c>
    </row>
    <row r="63" spans="1:30" ht="36" x14ac:dyDescent="0.25">
      <c r="A63" s="141">
        <v>61</v>
      </c>
      <c r="B63" s="211" t="s">
        <v>465</v>
      </c>
      <c r="C63" s="177" t="s">
        <v>121</v>
      </c>
      <c r="D63" s="180" t="s">
        <v>466</v>
      </c>
      <c r="E63" s="296">
        <v>2606032</v>
      </c>
      <c r="F63" s="180" t="s">
        <v>70</v>
      </c>
      <c r="G63" s="183" t="s">
        <v>467</v>
      </c>
      <c r="H63" s="180" t="s">
        <v>130</v>
      </c>
      <c r="I63" s="186">
        <v>2.1800000000000002</v>
      </c>
      <c r="J63" s="183" t="s">
        <v>146</v>
      </c>
      <c r="K63" s="196">
        <v>2118356.5</v>
      </c>
      <c r="L63" s="189">
        <v>1271013</v>
      </c>
      <c r="M63" s="189">
        <v>847343.5</v>
      </c>
      <c r="N63" s="191">
        <v>0.6</v>
      </c>
      <c r="O63" s="193">
        <v>0</v>
      </c>
      <c r="P63" s="193">
        <v>0</v>
      </c>
      <c r="Q63" s="194">
        <v>0</v>
      </c>
      <c r="R63" s="194">
        <v>0</v>
      </c>
      <c r="S63" s="194">
        <v>0</v>
      </c>
      <c r="T63" s="213">
        <v>0</v>
      </c>
      <c r="U63" s="233">
        <v>0</v>
      </c>
      <c r="V63" s="209">
        <v>1271013</v>
      </c>
      <c r="W63" s="29"/>
      <c r="X63" s="29"/>
      <c r="Y63" s="29"/>
      <c r="Z63" s="295"/>
      <c r="AA63" s="1" t="b">
        <f t="shared" si="4"/>
        <v>1</v>
      </c>
      <c r="AB63" s="23">
        <f t="shared" si="5"/>
        <v>0.6</v>
      </c>
      <c r="AC63" s="24" t="b">
        <f t="shared" si="6"/>
        <v>1</v>
      </c>
      <c r="AD63" s="24" t="b">
        <f t="shared" si="7"/>
        <v>1</v>
      </c>
    </row>
    <row r="64" spans="1:30" ht="24" x14ac:dyDescent="0.25">
      <c r="A64" s="141">
        <v>62</v>
      </c>
      <c r="B64" s="242" t="s">
        <v>468</v>
      </c>
      <c r="C64" s="177" t="s">
        <v>121</v>
      </c>
      <c r="D64" s="180" t="s">
        <v>82</v>
      </c>
      <c r="E64" s="296">
        <v>2606053</v>
      </c>
      <c r="F64" s="180" t="s">
        <v>70</v>
      </c>
      <c r="G64" s="183" t="s">
        <v>469</v>
      </c>
      <c r="H64" s="180" t="s">
        <v>130</v>
      </c>
      <c r="I64" s="186">
        <v>2</v>
      </c>
      <c r="J64" s="183" t="s">
        <v>470</v>
      </c>
      <c r="K64" s="196">
        <v>1431483.54</v>
      </c>
      <c r="L64" s="189">
        <v>858890</v>
      </c>
      <c r="M64" s="189">
        <v>572593.54</v>
      </c>
      <c r="N64" s="191">
        <v>0.6</v>
      </c>
      <c r="O64" s="193">
        <v>0</v>
      </c>
      <c r="P64" s="193">
        <v>0</v>
      </c>
      <c r="Q64" s="194">
        <v>0</v>
      </c>
      <c r="R64" s="194">
        <v>0</v>
      </c>
      <c r="S64" s="194">
        <v>0</v>
      </c>
      <c r="T64" s="213">
        <v>0</v>
      </c>
      <c r="U64" s="233">
        <v>0</v>
      </c>
      <c r="V64" s="209">
        <v>858890</v>
      </c>
      <c r="W64" s="29"/>
      <c r="X64" s="29"/>
      <c r="Y64" s="29"/>
      <c r="Z64" s="295"/>
      <c r="AA64" s="1" t="b">
        <f t="shared" si="4"/>
        <v>1</v>
      </c>
      <c r="AB64" s="23">
        <f t="shared" si="5"/>
        <v>0.6</v>
      </c>
      <c r="AC64" s="24" t="b">
        <f t="shared" si="6"/>
        <v>1</v>
      </c>
      <c r="AD64" s="24" t="b">
        <f t="shared" si="7"/>
        <v>1</v>
      </c>
    </row>
    <row r="65" spans="1:30" ht="24" x14ac:dyDescent="0.25">
      <c r="A65" s="141">
        <v>63</v>
      </c>
      <c r="B65" s="242" t="s">
        <v>471</v>
      </c>
      <c r="C65" s="177" t="s">
        <v>121</v>
      </c>
      <c r="D65" s="180" t="s">
        <v>472</v>
      </c>
      <c r="E65" s="296">
        <v>2607022</v>
      </c>
      <c r="F65" s="180" t="s">
        <v>486</v>
      </c>
      <c r="G65" s="183" t="s">
        <v>473</v>
      </c>
      <c r="H65" s="180" t="s">
        <v>130</v>
      </c>
      <c r="I65" s="186">
        <v>1.091</v>
      </c>
      <c r="J65" s="183" t="s">
        <v>474</v>
      </c>
      <c r="K65" s="196">
        <v>729872.16</v>
      </c>
      <c r="L65" s="189">
        <v>510910</v>
      </c>
      <c r="M65" s="189">
        <v>218962.16000000003</v>
      </c>
      <c r="N65" s="191">
        <v>0.7</v>
      </c>
      <c r="O65" s="193">
        <v>0</v>
      </c>
      <c r="P65" s="193">
        <v>0</v>
      </c>
      <c r="Q65" s="194">
        <v>0</v>
      </c>
      <c r="R65" s="194">
        <v>0</v>
      </c>
      <c r="S65" s="194">
        <v>0</v>
      </c>
      <c r="T65" s="213">
        <v>0</v>
      </c>
      <c r="U65" s="233">
        <v>0</v>
      </c>
      <c r="V65" s="209">
        <v>510910</v>
      </c>
      <c r="W65" s="29"/>
      <c r="X65" s="29"/>
      <c r="Y65" s="29"/>
      <c r="Z65" s="295"/>
      <c r="AA65" s="1" t="b">
        <f t="shared" ref="AA65:AA69" si="8">L65=SUM(O65:Z65)</f>
        <v>1</v>
      </c>
      <c r="AB65" s="23">
        <f t="shared" ref="AB65:AB69" si="9">ROUND(L65/K65,4)</f>
        <v>0.7</v>
      </c>
      <c r="AC65" s="24" t="b">
        <f t="shared" ref="AC65:AC69" si="10">AB65=N65</f>
        <v>1</v>
      </c>
      <c r="AD65" s="24" t="b">
        <f t="shared" ref="AD65:AD69" si="11">K65=L65+M65</f>
        <v>1</v>
      </c>
    </row>
    <row r="66" spans="1:30" x14ac:dyDescent="0.25">
      <c r="A66" s="141">
        <v>64</v>
      </c>
      <c r="B66" s="242" t="s">
        <v>494</v>
      </c>
      <c r="C66" s="177" t="s">
        <v>121</v>
      </c>
      <c r="D66" s="180" t="s">
        <v>495</v>
      </c>
      <c r="E66" s="296">
        <v>2604083</v>
      </c>
      <c r="F66" s="180" t="s">
        <v>496</v>
      </c>
      <c r="G66" s="183" t="s">
        <v>497</v>
      </c>
      <c r="H66" s="180" t="s">
        <v>130</v>
      </c>
      <c r="I66" s="186">
        <v>1.0549999999999999</v>
      </c>
      <c r="J66" s="183" t="s">
        <v>120</v>
      </c>
      <c r="K66" s="196">
        <v>553929.75</v>
      </c>
      <c r="L66" s="189">
        <v>387750</v>
      </c>
      <c r="M66" s="189">
        <v>166179.75</v>
      </c>
      <c r="N66" s="191">
        <v>0.7</v>
      </c>
      <c r="O66" s="193">
        <v>0</v>
      </c>
      <c r="P66" s="193">
        <v>0</v>
      </c>
      <c r="Q66" s="194">
        <v>0</v>
      </c>
      <c r="R66" s="194">
        <v>0</v>
      </c>
      <c r="S66" s="194">
        <v>0</v>
      </c>
      <c r="T66" s="213">
        <v>0</v>
      </c>
      <c r="U66" s="233">
        <v>0</v>
      </c>
      <c r="V66" s="209">
        <f>L66</f>
        <v>387750</v>
      </c>
      <c r="W66" s="29"/>
      <c r="X66" s="29"/>
      <c r="Y66" s="29"/>
      <c r="Z66" s="295"/>
      <c r="AA66" s="1" t="b">
        <f t="shared" si="8"/>
        <v>1</v>
      </c>
      <c r="AB66" s="23">
        <f t="shared" si="9"/>
        <v>0.7</v>
      </c>
      <c r="AC66" s="24" t="b">
        <f t="shared" si="10"/>
        <v>1</v>
      </c>
      <c r="AD66" s="24" t="b">
        <f t="shared" si="11"/>
        <v>1</v>
      </c>
    </row>
    <row r="67" spans="1:30" ht="24" x14ac:dyDescent="0.25">
      <c r="A67" s="141">
        <v>65</v>
      </c>
      <c r="B67" s="242" t="s">
        <v>498</v>
      </c>
      <c r="C67" s="177" t="s">
        <v>121</v>
      </c>
      <c r="D67" s="180" t="s">
        <v>436</v>
      </c>
      <c r="E67" s="296">
        <v>2609072</v>
      </c>
      <c r="F67" s="180" t="s">
        <v>232</v>
      </c>
      <c r="G67" s="183" t="s">
        <v>499</v>
      </c>
      <c r="H67" s="180" t="s">
        <v>50</v>
      </c>
      <c r="I67" s="186">
        <v>0.998</v>
      </c>
      <c r="J67" s="183" t="s">
        <v>352</v>
      </c>
      <c r="K67" s="196">
        <v>730737.84</v>
      </c>
      <c r="L67" s="189">
        <v>511516</v>
      </c>
      <c r="M67" s="189">
        <v>219221.84</v>
      </c>
      <c r="N67" s="191">
        <v>0.7</v>
      </c>
      <c r="O67" s="193">
        <v>0</v>
      </c>
      <c r="P67" s="193">
        <v>0</v>
      </c>
      <c r="Q67" s="194">
        <v>0</v>
      </c>
      <c r="R67" s="194">
        <v>0</v>
      </c>
      <c r="S67" s="194">
        <v>0</v>
      </c>
      <c r="T67" s="213">
        <v>0</v>
      </c>
      <c r="U67" s="233">
        <v>0</v>
      </c>
      <c r="V67" s="209">
        <v>511516</v>
      </c>
      <c r="W67" s="29"/>
      <c r="X67" s="29"/>
      <c r="Y67" s="29"/>
      <c r="Z67" s="295"/>
      <c r="AA67" s="1" t="b">
        <f t="shared" si="8"/>
        <v>1</v>
      </c>
      <c r="AB67" s="23">
        <f t="shared" si="9"/>
        <v>0.7</v>
      </c>
      <c r="AC67" s="24" t="b">
        <f t="shared" si="10"/>
        <v>1</v>
      </c>
      <c r="AD67" s="24" t="b">
        <f t="shared" si="11"/>
        <v>1</v>
      </c>
    </row>
    <row r="68" spans="1:30" ht="24" x14ac:dyDescent="0.25">
      <c r="A68" s="141">
        <v>66</v>
      </c>
      <c r="B68" s="242" t="s">
        <v>500</v>
      </c>
      <c r="C68" s="177" t="s">
        <v>121</v>
      </c>
      <c r="D68" s="180" t="s">
        <v>472</v>
      </c>
      <c r="E68" s="296">
        <v>2607022</v>
      </c>
      <c r="F68" s="180" t="s">
        <v>501</v>
      </c>
      <c r="G68" s="183" t="s">
        <v>502</v>
      </c>
      <c r="H68" s="180" t="s">
        <v>130</v>
      </c>
      <c r="I68" s="186">
        <v>0.99199999999999999</v>
      </c>
      <c r="J68" s="183" t="s">
        <v>503</v>
      </c>
      <c r="K68" s="196">
        <v>576372.32999999996</v>
      </c>
      <c r="L68" s="189">
        <v>403460</v>
      </c>
      <c r="M68" s="189">
        <v>172912.33</v>
      </c>
      <c r="N68" s="191">
        <v>0.7</v>
      </c>
      <c r="O68" s="193">
        <v>0</v>
      </c>
      <c r="P68" s="193">
        <v>0</v>
      </c>
      <c r="Q68" s="194">
        <v>0</v>
      </c>
      <c r="R68" s="194">
        <v>0</v>
      </c>
      <c r="S68" s="194">
        <v>0</v>
      </c>
      <c r="T68" s="213">
        <v>0</v>
      </c>
      <c r="U68" s="233">
        <v>0</v>
      </c>
      <c r="V68" s="209">
        <v>403460</v>
      </c>
      <c r="W68" s="29"/>
      <c r="X68" s="29"/>
      <c r="Y68" s="29"/>
      <c r="Z68" s="295"/>
      <c r="AA68" s="1" t="b">
        <f t="shared" si="8"/>
        <v>1</v>
      </c>
      <c r="AB68" s="23">
        <f t="shared" si="9"/>
        <v>0.7</v>
      </c>
      <c r="AC68" s="24" t="b">
        <f t="shared" si="10"/>
        <v>1</v>
      </c>
      <c r="AD68" s="24" t="b">
        <f t="shared" si="11"/>
        <v>1</v>
      </c>
    </row>
    <row r="69" spans="1:30" ht="24" x14ac:dyDescent="0.25">
      <c r="A69" s="141" t="s">
        <v>513</v>
      </c>
      <c r="B69" s="260" t="s">
        <v>504</v>
      </c>
      <c r="C69" s="201" t="s">
        <v>121</v>
      </c>
      <c r="D69" s="202" t="s">
        <v>82</v>
      </c>
      <c r="E69" s="297">
        <v>2606053</v>
      </c>
      <c r="F69" s="202" t="s">
        <v>251</v>
      </c>
      <c r="G69" s="203" t="s">
        <v>505</v>
      </c>
      <c r="H69" s="202" t="s">
        <v>50</v>
      </c>
      <c r="I69" s="245">
        <v>0.98499999999999999</v>
      </c>
      <c r="J69" s="203" t="s">
        <v>470</v>
      </c>
      <c r="K69" s="204">
        <v>2098055.0699999998</v>
      </c>
      <c r="L69" s="205">
        <f>1258833-624096.32</f>
        <v>634736.68000000005</v>
      </c>
      <c r="M69" s="205">
        <f>K69-L69</f>
        <v>1463318.3899999997</v>
      </c>
      <c r="N69" s="206">
        <v>0.6</v>
      </c>
      <c r="O69" s="207">
        <v>0</v>
      </c>
      <c r="P69" s="207">
        <v>0</v>
      </c>
      <c r="Q69" s="246">
        <v>0</v>
      </c>
      <c r="R69" s="246">
        <v>0</v>
      </c>
      <c r="S69" s="246">
        <v>0</v>
      </c>
      <c r="T69" s="247">
        <v>0</v>
      </c>
      <c r="U69" s="248">
        <v>0</v>
      </c>
      <c r="V69" s="257">
        <f>L69</f>
        <v>634736.68000000005</v>
      </c>
      <c r="W69" s="248"/>
      <c r="X69" s="248"/>
      <c r="Y69" s="248"/>
      <c r="Z69" s="295"/>
      <c r="AA69" s="1" t="b">
        <f t="shared" si="8"/>
        <v>1</v>
      </c>
      <c r="AB69" s="23">
        <f t="shared" si="9"/>
        <v>0.30249999999999999</v>
      </c>
      <c r="AC69" s="24" t="b">
        <f t="shared" si="10"/>
        <v>0</v>
      </c>
      <c r="AD69" s="24" t="b">
        <f t="shared" si="11"/>
        <v>1</v>
      </c>
    </row>
    <row r="70" spans="1:30" ht="20.100000000000001" customHeight="1" x14ac:dyDescent="0.25">
      <c r="A70" s="337" t="s">
        <v>43</v>
      </c>
      <c r="B70" s="337"/>
      <c r="C70" s="337"/>
      <c r="D70" s="337"/>
      <c r="E70" s="337"/>
      <c r="F70" s="337"/>
      <c r="G70" s="337"/>
      <c r="H70" s="337"/>
      <c r="I70" s="152">
        <f>SUM(I3:I69)</f>
        <v>50.170999999999985</v>
      </c>
      <c r="J70" s="153" t="s">
        <v>14</v>
      </c>
      <c r="K70" s="154">
        <f>SUM(K3:K69)</f>
        <v>98699242.120000005</v>
      </c>
      <c r="L70" s="154">
        <f>SUM(L3:L69)</f>
        <v>69241810.439999998</v>
      </c>
      <c r="M70" s="154">
        <f>SUM(M3:M69)</f>
        <v>29457431.680000003</v>
      </c>
      <c r="N70" s="155" t="s">
        <v>14</v>
      </c>
      <c r="O70" s="156">
        <f t="shared" ref="O70:Z70" si="12">SUM(O3:O69)</f>
        <v>0</v>
      </c>
      <c r="P70" s="156">
        <f t="shared" si="12"/>
        <v>0</v>
      </c>
      <c r="Q70" s="156">
        <f t="shared" si="12"/>
        <v>0</v>
      </c>
      <c r="R70" s="156">
        <f t="shared" si="12"/>
        <v>0</v>
      </c>
      <c r="S70" s="156">
        <f t="shared" si="12"/>
        <v>0</v>
      </c>
      <c r="T70" s="156">
        <f t="shared" si="12"/>
        <v>0</v>
      </c>
      <c r="U70" s="156">
        <f t="shared" si="12"/>
        <v>0</v>
      </c>
      <c r="V70" s="156">
        <f t="shared" si="12"/>
        <v>61625444.440000005</v>
      </c>
      <c r="W70" s="156">
        <f t="shared" si="12"/>
        <v>7616366</v>
      </c>
      <c r="X70" s="156">
        <f t="shared" si="12"/>
        <v>0</v>
      </c>
      <c r="Y70" s="156">
        <f t="shared" si="12"/>
        <v>0</v>
      </c>
      <c r="Z70" s="156">
        <f t="shared" si="12"/>
        <v>0</v>
      </c>
      <c r="AA70" s="1" t="b">
        <f t="shared" ref="AA70:AA72" si="13">L70=SUM(O70:Z70)</f>
        <v>1</v>
      </c>
      <c r="AB70" s="23">
        <f>ROUND(L70/K70,4)</f>
        <v>0.70150000000000001</v>
      </c>
      <c r="AC70" s="24" t="s">
        <v>14</v>
      </c>
      <c r="AD70" s="24" t="b">
        <f t="shared" ref="AD70" si="14">K70=L70+M70</f>
        <v>1</v>
      </c>
    </row>
    <row r="71" spans="1:30" ht="20.100000000000001" customHeight="1" x14ac:dyDescent="0.25">
      <c r="A71" s="350" t="s">
        <v>37</v>
      </c>
      <c r="B71" s="351"/>
      <c r="C71" s="351"/>
      <c r="D71" s="351"/>
      <c r="E71" s="351"/>
      <c r="F71" s="351"/>
      <c r="G71" s="351"/>
      <c r="H71" s="352"/>
      <c r="I71" s="152">
        <f>SUMIF($C$3:$C$69,"N",I3:I69)</f>
        <v>47.140999999999991</v>
      </c>
      <c r="J71" s="153" t="s">
        <v>14</v>
      </c>
      <c r="K71" s="154">
        <f>SUMIF($C$3:$C$69,"N",K3:K69)</f>
        <v>81172417.459999979</v>
      </c>
      <c r="L71" s="154">
        <f>SUMIF($C$3:$C$69,"N",L3:L69)</f>
        <v>57140330.440000005</v>
      </c>
      <c r="M71" s="154">
        <f>SUMIF($C$3:$C$69,"N",M3:M69)</f>
        <v>24032087.019999996</v>
      </c>
      <c r="N71" s="155" t="s">
        <v>14</v>
      </c>
      <c r="O71" s="156">
        <f t="shared" ref="O71:Z71" si="15">SUMIF($C$3:$C$69,"N",O3:O69)</f>
        <v>0</v>
      </c>
      <c r="P71" s="156">
        <f t="shared" si="15"/>
        <v>0</v>
      </c>
      <c r="Q71" s="156">
        <f t="shared" si="15"/>
        <v>0</v>
      </c>
      <c r="R71" s="156">
        <f t="shared" si="15"/>
        <v>0</v>
      </c>
      <c r="S71" s="156">
        <f t="shared" si="15"/>
        <v>0</v>
      </c>
      <c r="T71" s="156">
        <f t="shared" si="15"/>
        <v>0</v>
      </c>
      <c r="U71" s="156">
        <f t="shared" si="15"/>
        <v>0</v>
      </c>
      <c r="V71" s="156">
        <f t="shared" si="15"/>
        <v>57140330.440000005</v>
      </c>
      <c r="W71" s="156">
        <f t="shared" si="15"/>
        <v>0</v>
      </c>
      <c r="X71" s="156">
        <f t="shared" si="15"/>
        <v>0</v>
      </c>
      <c r="Y71" s="156">
        <f t="shared" si="15"/>
        <v>0</v>
      </c>
      <c r="Z71" s="156">
        <f t="shared" si="15"/>
        <v>0</v>
      </c>
      <c r="AA71" s="1" t="b">
        <f t="shared" si="13"/>
        <v>1</v>
      </c>
      <c r="AB71" s="23">
        <f t="shared" ref="AB71" si="16">ROUND(L71/K71,4)</f>
        <v>0.70389999999999997</v>
      </c>
      <c r="AC71" s="24" t="s">
        <v>14</v>
      </c>
      <c r="AD71" s="24" t="b">
        <f t="shared" ref="AD71" si="17">K71=L71+M71</f>
        <v>1</v>
      </c>
    </row>
    <row r="72" spans="1:30" ht="20.100000000000001" customHeight="1" x14ac:dyDescent="0.25">
      <c r="A72" s="353" t="s">
        <v>38</v>
      </c>
      <c r="B72" s="353"/>
      <c r="C72" s="353"/>
      <c r="D72" s="353"/>
      <c r="E72" s="353"/>
      <c r="F72" s="353"/>
      <c r="G72" s="353"/>
      <c r="H72" s="353"/>
      <c r="I72" s="157">
        <f>SUMIF($C$3:$C$69,"W",I3:I69)</f>
        <v>3.03</v>
      </c>
      <c r="J72" s="158" t="s">
        <v>14</v>
      </c>
      <c r="K72" s="145">
        <f>SUMIF($C$3:$C$69,"W",K3:K69)</f>
        <v>17526824.66</v>
      </c>
      <c r="L72" s="145">
        <f>SUMIF($C$3:$C$69,"W",L3:L69)</f>
        <v>12101480</v>
      </c>
      <c r="M72" s="145">
        <f>SUMIF($C$3:$C$69,"W",M3:M69)</f>
        <v>5425344.6600000001</v>
      </c>
      <c r="N72" s="159" t="s">
        <v>14</v>
      </c>
      <c r="O72" s="146">
        <f t="shared" ref="O72:Z72" si="18">SUMIF($C$3:$C$69,"W",O3:O69)</f>
        <v>0</v>
      </c>
      <c r="P72" s="146">
        <f t="shared" si="18"/>
        <v>0</v>
      </c>
      <c r="Q72" s="146">
        <f t="shared" si="18"/>
        <v>0</v>
      </c>
      <c r="R72" s="146">
        <f t="shared" si="18"/>
        <v>0</v>
      </c>
      <c r="S72" s="146">
        <f t="shared" si="18"/>
        <v>0</v>
      </c>
      <c r="T72" s="146">
        <f t="shared" si="18"/>
        <v>0</v>
      </c>
      <c r="U72" s="146">
        <f t="shared" si="18"/>
        <v>0</v>
      </c>
      <c r="V72" s="146">
        <f t="shared" si="18"/>
        <v>4485114</v>
      </c>
      <c r="W72" s="146">
        <f t="shared" si="18"/>
        <v>7616366</v>
      </c>
      <c r="X72" s="146">
        <f t="shared" si="18"/>
        <v>0</v>
      </c>
      <c r="Y72" s="146">
        <f t="shared" si="18"/>
        <v>0</v>
      </c>
      <c r="Z72" s="146">
        <f t="shared" si="18"/>
        <v>0</v>
      </c>
      <c r="AA72" s="1" t="b">
        <f t="shared" si="13"/>
        <v>1</v>
      </c>
      <c r="AB72" s="23">
        <f t="shared" ref="AB72" si="19">ROUND(L72/K72,4)</f>
        <v>0.6905</v>
      </c>
      <c r="AC72" s="24" t="s">
        <v>14</v>
      </c>
      <c r="AD72" s="24" t="b">
        <f t="shared" ref="AD72" si="20">K72=L72+M72</f>
        <v>1</v>
      </c>
    </row>
    <row r="73" spans="1:30" x14ac:dyDescent="0.25">
      <c r="A73" s="172"/>
      <c r="B73" s="163"/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5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D73" s="13"/>
    </row>
    <row r="74" spans="1:30" x14ac:dyDescent="0.25">
      <c r="A74" s="162" t="s">
        <v>23</v>
      </c>
      <c r="B74" s="163"/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5"/>
      <c r="O74" s="163"/>
      <c r="P74" s="163"/>
      <c r="Q74" s="163"/>
      <c r="R74" s="163"/>
      <c r="S74" s="163"/>
      <c r="T74" s="163"/>
      <c r="U74" s="241"/>
      <c r="V74" s="241"/>
      <c r="W74" s="163"/>
      <c r="X74" s="163"/>
      <c r="Y74" s="163"/>
      <c r="Z74" s="163"/>
    </row>
    <row r="75" spans="1:30" x14ac:dyDescent="0.25">
      <c r="A75" s="166" t="s">
        <v>24</v>
      </c>
      <c r="B75" s="163"/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5"/>
      <c r="O75" s="163"/>
      <c r="P75" s="163"/>
      <c r="Q75" s="163"/>
      <c r="R75" s="163"/>
      <c r="S75" s="163"/>
      <c r="T75" s="163"/>
      <c r="U75" s="163"/>
      <c r="V75" s="241"/>
      <c r="W75" s="163"/>
      <c r="X75" s="163"/>
      <c r="Y75" s="163"/>
      <c r="Z75" s="163"/>
    </row>
    <row r="76" spans="1:30" x14ac:dyDescent="0.25">
      <c r="A76" s="162" t="s">
        <v>34</v>
      </c>
      <c r="B76" s="163"/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5"/>
      <c r="O76" s="163"/>
      <c r="P76" s="163"/>
      <c r="Q76" s="163"/>
      <c r="R76" s="163"/>
      <c r="S76" s="163"/>
      <c r="T76" s="163"/>
      <c r="U76" s="163"/>
      <c r="V76" s="241"/>
      <c r="W76" s="163"/>
      <c r="X76" s="163"/>
      <c r="Y76" s="163"/>
      <c r="Z76" s="163"/>
    </row>
    <row r="77" spans="1:30" x14ac:dyDescent="0.25">
      <c r="A77" s="249" t="s">
        <v>45</v>
      </c>
      <c r="B77" s="236"/>
      <c r="C77" s="236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5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63"/>
    </row>
    <row r="78" spans="1:30" x14ac:dyDescent="0.25">
      <c r="A78" s="20"/>
    </row>
  </sheetData>
  <mergeCells count="18">
    <mergeCell ref="O1:Z1"/>
    <mergeCell ref="M1:M2"/>
    <mergeCell ref="N1:N2"/>
    <mergeCell ref="A70:H70"/>
    <mergeCell ref="I1:I2"/>
    <mergeCell ref="J1:J2"/>
    <mergeCell ref="K1:K2"/>
    <mergeCell ref="L1:L2"/>
    <mergeCell ref="A1:A2"/>
    <mergeCell ref="B1:B2"/>
    <mergeCell ref="C1:C2"/>
    <mergeCell ref="F1:F2"/>
    <mergeCell ref="G1:G2"/>
    <mergeCell ref="H1:H2"/>
    <mergeCell ref="A71:H71"/>
    <mergeCell ref="D1:D2"/>
    <mergeCell ref="A72:H72"/>
    <mergeCell ref="E1:E2"/>
  </mergeCells>
  <conditionalFormatting sqref="B3:B69 D3:N69">
    <cfRule type="expression" dxfId="15" priority="53">
      <formula>$P3="odrzucenie"</formula>
    </cfRule>
    <cfRule type="expression" dxfId="14" priority="54">
      <formula>$P3="rezygnacja"</formula>
    </cfRule>
  </conditionalFormatting>
  <conditionalFormatting sqref="T3:T69">
    <cfRule type="expression" dxfId="13" priority="7">
      <formula>$Q3="odrzucenie"</formula>
    </cfRule>
    <cfRule type="expression" dxfId="12" priority="8">
      <formula>$Q3="rezygnacja"</formula>
    </cfRule>
  </conditionalFormatting>
  <conditionalFormatting sqref="U3:U68">
    <cfRule type="expression" dxfId="11" priority="952">
      <formula>#REF!="odrzucenie"</formula>
    </cfRule>
    <cfRule type="expression" dxfId="10" priority="953">
      <formula>#REF!="rezygnacja"</formula>
    </cfRule>
  </conditionalFormatting>
  <conditionalFormatting sqref="U59">
    <cfRule type="expression" dxfId="9" priority="35">
      <formula>$Q59="odrzucenie"</formula>
    </cfRule>
    <cfRule type="expression" dxfId="8" priority="36">
      <formula>$Q59="rezygnacja"</formula>
    </cfRule>
  </conditionalFormatting>
  <conditionalFormatting sqref="U69">
    <cfRule type="expression" dxfId="7" priority="11">
      <formula>#REF!="odrzucenie"</formula>
    </cfRule>
    <cfRule type="expression" dxfId="6" priority="12">
      <formula>#REF!="rezygnacja"</formula>
    </cfRule>
  </conditionalFormatting>
  <conditionalFormatting sqref="W69:Y69">
    <cfRule type="expression" dxfId="5" priority="1">
      <formula>#REF!="odrzucenie"</formula>
    </cfRule>
    <cfRule type="expression" dxfId="4" priority="2">
      <formula>#REF!="rezygnacja"</formula>
    </cfRule>
  </conditionalFormatting>
  <conditionalFormatting sqref="AA3:AC72">
    <cfRule type="containsText" dxfId="3" priority="57" operator="containsText" text="fałsz">
      <formula>NOT(ISERROR(SEARCH("fałsz",AA3)))</formula>
    </cfRule>
  </conditionalFormatting>
  <conditionalFormatting sqref="AB70:AD70 AA70:AA72 AA3:AD69">
    <cfRule type="cellIs" dxfId="2" priority="74" operator="equal">
      <formula>FALSE</formula>
    </cfRule>
  </conditionalFormatting>
  <conditionalFormatting sqref="AB71:AC72">
    <cfRule type="cellIs" dxfId="1" priority="59" operator="equal">
      <formula>FALSE</formula>
    </cfRule>
  </conditionalFormatting>
  <conditionalFormatting sqref="AD71:AD73">
    <cfRule type="cellIs" dxfId="0" priority="55" operator="equal">
      <formula>FALSE</formula>
    </cfRule>
  </conditionalFormatting>
  <dataValidations count="3">
    <dataValidation type="list" allowBlank="1" showInputMessage="1" showErrorMessage="1" sqref="C59:C69 C3:C57">
      <formula1>"N,W"</formula1>
    </dataValidation>
    <dataValidation type="list" allowBlank="1" showInputMessage="1" showErrorMessage="1" sqref="H3:H69">
      <formula1>"B,P,R"</formula1>
    </dataValidation>
    <dataValidation type="list" allowBlank="1" showInputMessage="1" showErrorMessage="1" sqref="C3:C69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2" fitToHeight="0" orientation="landscape" r:id="rId1"/>
  <headerFooter>
    <oddHeader>&amp;LWojewództwo świętokrzyskie - zadania gminne lista rezerwowa</oddHeader>
    <oddFooter>Strona &amp;P z &amp;N</oddFooter>
  </headerFooter>
  <ignoredErrors>
    <ignoredError sqref="O70:Z7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Bielicka Marzena</dc:creator>
  <cp:lastModifiedBy>Grzegorczuk Katarzyna</cp:lastModifiedBy>
  <cp:lastPrinted>2025-12-19T12:53:46Z</cp:lastPrinted>
  <dcterms:created xsi:type="dcterms:W3CDTF">2019-02-25T10:53:14Z</dcterms:created>
  <dcterms:modified xsi:type="dcterms:W3CDTF">2026-02-12T14:19:25Z</dcterms:modified>
</cp:coreProperties>
</file>