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passini\Desktop\"/>
    </mc:Choice>
  </mc:AlternateContent>
  <bookViews>
    <workbookView xWindow="0" yWindow="0" windowWidth="28800" windowHeight="12180" tabRatio="577"/>
  </bookViews>
  <sheets>
    <sheet name="RA" sheetId="1" r:id="rId1"/>
    <sheet name="Actual harms" sheetId="3" r:id="rId2"/>
    <sheet name="Translations" sheetId="2" state="hidden" r:id="rId3"/>
    <sheet name="Configuration" sheetId="5" state="hidden" r:id="rId4"/>
  </sheets>
  <definedNames>
    <definedName name="_xlnm._FilterDatabase" localSheetId="0" hidden="1">RA!$G$1:$G$34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RA!$B$3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<sst xmlns="http://schemas.openxmlformats.org/spreadsheetml/2006/main" count="3036" uniqueCount="2956">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</sst>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 fillId="0" borderId="14" xfId="0" applyFont="1" applyBorder="1" applyAlignment="1">
      <alignment horizontal="left" vertical="top"/>
    </xf>
    <xf numFmtId="0" fontId="1" fillId="0" borderId="2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1" fillId="0" borderId="15" xfId="0" applyFont="1" applyBorder="1" applyAlignment="1">
      <alignment horizontal="left" vertical="top"/>
    </xf>
    <xf numFmtId="0" fontId="0" fillId="0" borderId="25" xfId="0" applyFont="1" applyBorder="1" applyAlignment="1">
      <alignment horizontal="left" vertical="top"/>
    </xf>
    <xf numFmtId="0" fontId="10" fillId="0" borderId="19" xfId="6" applyAlignment="1" applyProtection="1">
      <alignment horizontal="center" vertical="center" wrapText="1"/>
    </xf>
  </cellXfs>
  <cellStyles count="7">
    <cellStyle name="20% — akcent 2" xfId="4" builtinId="34"/>
    <cellStyle name="Dane wyjściowe" xfId="3" builtinId="21"/>
    <cellStyle name="Hiperłącze" xfId="5" builtinId="8"/>
    <cellStyle name="Nagłówek 3" xfId="6" builtinId="18"/>
    <cellStyle name="Normalny" xfId="0" builtinId="0"/>
    <cellStyle name="Tekst objaśnienia" xfId="1" builtinId="53"/>
    <cellStyle name="Tytuł" xfId="2" builtinId="15"/>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35" name="harms" displayName="harms" ref="A3:F42" tableType="xml" totalsRowShown="0" headerRowDxfId="7" dataDxfId="6">
  <tableColumns count="6">
    <tableColumn id="6" uniqueName="6" name="xs:species" dataDxfId="5"/>
    <tableColumn id="2" uniqueName="ns1:nonRecovery" name="xs:nonRecovery" dataDxfId="4">
      <xmlColumnPr mapId="5" xpath="/ns1:raForm/ns1:harms/ns1:harm/ns1:nonRecovery" xmlDataType="nonNegativeInteger"/>
    </tableColumn>
    <tableColumn id="3" uniqueName="ns1:mild" name="xs:mild" dataDxfId="3">
      <xmlColumnPr mapId="5" xpath="/ns1:raForm/ns1:harms/ns1:harm/ns1:mild" xmlDataType="nonNegativeInteger"/>
    </tableColumn>
    <tableColumn id="4" uniqueName="ns1:moderate" name="xs:moderate" dataDxfId="2">
      <xmlColumnPr mapId="5" xpath="/ns1:raForm/ns1:harms/ns1:harm/ns1:moderate" xmlDataType="nonNegativeInteger"/>
    </tableColumn>
    <tableColumn id="5" uniqueName="ns1:severe" name="xs:severe" dataDxfId="1">
      <xmlColumnPr mapId="5" xpath="/ns1:raForm/ns1:harms/ns1:harm/ns1:severe" xmlDataType="nonNegativeInteger"/>
    </tableColumn>
    <tableColumn id="7"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2" connectionId="0">
    <xmlCellPr id="1" uniqueName="ns1:country">
      <xmlPr mapId="5" xpath="/ns1:raForm/ns1:country" xmlDataType="string"/>
    </xmlCellPr>
  </singleXmlCell>
  <singleXmlCell id="2" r="B4" connectionId="0">
    <xmlCellPr id="1" uniqueName="ns1:language">
      <xmlPr mapId="5" xpath="/ns1:raForm/ns1:language" xmlDataType="string"/>
    </xmlCellPr>
  </singleXmlCell>
  <singleXmlCell id="3" r="B5" connectionId="0">
    <xmlCellPr id="1" uniqueName="ns1:title">
      <xmlPr mapId="5" xpath="/ns1:raForm/ns1:title" xmlDataType="string"/>
    </xmlCellPr>
  </singleXmlCell>
  <singleXmlCell id="4" r="B11" connectionId="0">
    <xmlCellPr id="1" uniqueName="ns1:severeProcedure">
      <xmlPr mapId="5" xpath="/ns1:raForm/ns1:raReason/ns1:severeProcedure" xmlDataType="boolean"/>
    </xmlCellPr>
  </singleXmlCell>
  <singleXmlCell id="5" r="B12" connectionId="0">
    <xmlCellPr id="1" uniqueName="ns1:nhpUse">
      <xmlPr mapId="5" xpath="/ns1:raForm/ns1:raReason/ns1:nhpUse" xmlDataType="boolean"/>
    </xmlCellPr>
  </singleXmlCell>
  <singleXmlCell id="6" r="B13" connectionId="0">
    <xmlCellPr id="1" uniqueName="ns1:other">
      <xmlPr mapId="5" xpath="/ns1:raForm/ns1:raReason/ns1:other" xmlDataType="boolean"/>
    </xmlCellPr>
  </singleXmlCell>
  <singleXmlCell id="7" r="B15" connectionId="0">
    <xmlCellPr id="1" uniqueName="ns1:otherExplanation">
      <xmlPr mapId="5" xpath="/ns1:raForm/ns1:raReason/ns1:otherExplanation" xmlDataType="string"/>
    </xmlCellPr>
  </singleXmlCell>
  <singleXmlCell id="8" r="B17" connectionId="0">
    <xmlCellPr id="1" uniqueName="ns1:objectivesAchievement">
      <xmlPr mapId="5" xpath="/ns1:raForm/ns1:objectivesAchievement" xmlDataType="string"/>
    </xmlCellPr>
  </singleXmlCell>
  <singleXmlCell id="9" r="B20" connectionId="0">
    <xmlCellPr id="1" uniqueName="ns1:comparisonHarms">
      <xmlPr mapId="5" xpath="/ns1:raForm/ns1:comparisonHarms" xmlDataType="string"/>
    </xmlCellPr>
  </singleXmlCell>
  <singleXmlCell id="10" r="B22" connectionId="0">
    <xmlCellPr id="1" uniqueName="ns1:comparisonFate">
      <xmlPr mapId="5" xpath="/ns1:raForm/ns1:comparisonFate" xmlDataType="string"/>
    </xmlCellPr>
  </singleXmlCell>
  <singleXmlCell id="11" r="B25" connectionId="0">
    <xmlCellPr id="1" uniqueName="ns1:replacementFindings">
      <xmlPr mapId="5" xpath="/ns1:raForm/ns1:replacementFindings" xmlDataType="string"/>
    </xmlCellPr>
  </singleXmlCell>
  <singleXmlCell id="12" r="B27" connectionId="0">
    <xmlCellPr id="1" uniqueName="ns1:reductionFindings">
      <xmlPr mapId="5" xpath="/ns1:raForm/ns1:reductionFindings" xmlDataType="string"/>
    </xmlCellPr>
  </singleXmlCell>
  <singleXmlCell id="13" r="B29" connectionId="0">
    <xmlCellPr id="1" uniqueName="ns1:refinementFindings">
      <xmlPr mapId="5" xpath="/ns1:raForm/ns1:refinementFindings" xmlDataType="string"/>
    </xmlCellPr>
  </singleXmlCell>
  <singleXmlCell id="14" r="B31" connectionId="0">
    <xmlCellPr id="1" uniqueName="ns1:findingsDissemination">
      <xmlPr mapId="5" xpath="/ns1:raForm/ns1:findingsDissemination" xmlDataType="string"/>
    </xmlCellPr>
  </singleXmlCell>
  <singleXmlCell id="15" r="B33" connectionId="0">
    <xmlCellPr id="1"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54"/>
  <sheetViews>
    <sheetView tabSelected="1" topLeftCell="C28" zoomScaleNormal="100" workbookViewId="0">
      <selection activeCell="C29" sqref="C29:F29"/>
    </sheetView>
  </sheetViews>
  <sheetFormatPr defaultColWidth="9.140625" defaultRowHeight="15" x14ac:dyDescent="0.25"/>
  <cols>
    <col min="1" max="1" width="16.85546875" style="3" hidden="1" customWidth="1"/>
    <col min="2" max="2" width="11.28515625" style="4" hidden="1" customWidth="1"/>
    <col min="3" max="3" width="48.85546875" style="12" customWidth="1"/>
    <col min="4" max="4" width="12.7109375" style="19" customWidth="1"/>
    <col min="5" max="5" width="43.28515625" style="18" customWidth="1"/>
    <col min="6" max="6" width="19.42578125" style="2" customWidth="1"/>
    <col min="7" max="7" width="2.28515625" style="10" customWidth="1"/>
    <col min="8" max="8" width="51.85546875" style="2" customWidth="1"/>
    <col min="9" max="9" width="41.85546875" style="46" customWidth="1"/>
    <col min="10" max="16384" width="9.140625" style="2"/>
  </cols>
  <sheetData>
    <row r="1" spans="1:9" ht="23.25" x14ac:dyDescent="0.25">
      <c r="A1" s="3" t="s">
        <v>7</v>
      </c>
      <c r="B1" s="4" t="s">
        <v>7</v>
      </c>
      <c r="C1" s="104" t="str">
        <f>UPPER(RA_title)</f>
        <v>WYNIK OCENY RETROSPEKTYWNEJ</v>
      </c>
      <c r="D1" s="104"/>
      <c r="E1" s="104"/>
      <c r="F1" s="104"/>
      <c r="G1" s="34" t="s">
        <v>6</v>
      </c>
      <c r="H1" s="28"/>
    </row>
    <row r="2" spans="1:9" x14ac:dyDescent="0.25">
      <c r="A2" s="5" t="s">
        <v>85</v>
      </c>
      <c r="B2" s="7" t="str">
        <f>IF(TRIM(D2)="","",UPPER(D2))</f>
        <v>PL</v>
      </c>
      <c r="C2" s="12" t="str">
        <f>country_label</f>
        <v>Państwo</v>
      </c>
      <c r="D2" s="21" t="s">
        <v>56</v>
      </c>
      <c r="E2" s="105"/>
      <c r="F2" s="106"/>
      <c r="G2" s="60" t="s">
        <v>360</v>
      </c>
      <c r="H2" s="28"/>
      <c r="I2" s="31" t="str">
        <f>compulsory_field_tinstr</f>
        <v>Obowiązkowe!</v>
      </c>
    </row>
    <row r="3" spans="1:9" s="46" customFormat="1" x14ac:dyDescent="0.25">
      <c r="A3" s="5" t="s">
        <v>86</v>
      </c>
      <c r="B3" s="7" t="str">
        <f>IF(TRIM(D3)="","",LOWER(D3))</f>
        <v>pl</v>
      </c>
      <c r="C3" s="57" t="str">
        <f>language_label</f>
        <v>Język</v>
      </c>
      <c r="D3" s="56" t="s">
        <v>29</v>
      </c>
      <c r="E3" s="105"/>
      <c r="F3" s="106"/>
      <c r="G3" s="60" t="s">
        <v>360</v>
      </c>
      <c r="H3" s="28"/>
      <c r="I3" s="31" t="str">
        <f>compulsory_field_tinstr</f>
        <v>Obowiązkowe!</v>
      </c>
    </row>
    <row r="4" spans="1:9" x14ac:dyDescent="0.25">
      <c r="A4" s="5" t="s">
        <v>342</v>
      </c>
      <c r="B4" s="4" t="str">
        <f>IF(TRIM(D4)="","",VALUE(MID(D4,SEARCH("[", D4)+1,SEARCH("]",D4)-SEARCH("[",D4)-1)))</f>
        <v/>
      </c>
      <c r="C4" s="12" t="str">
        <f>euSubmission_label</f>
        <v>Składany na poziomie UE</v>
      </c>
      <c r="D4" s="22"/>
      <c r="E4" s="107"/>
      <c r="F4" s="108"/>
      <c r="G4" s="60" t="s">
        <v>360</v>
      </c>
      <c r="H4" s="28"/>
      <c r="I4" s="31" t="str">
        <f>compulsory_field_tinstr&amp;" "&amp;not_be_published_instr&amp;" "&amp;euSubmission_instr</f>
        <v>Obowiązkowe! Pole nie zostanie opublikowane. Proszę wskazać, czy projekt wchodzi w zakres dyrektywy, czy nie.</v>
      </c>
    </row>
    <row r="5" spans="1:9" x14ac:dyDescent="0.25">
      <c r="A5" s="5" t="s">
        <v>270</v>
      </c>
      <c r="B5" s="7" t="str">
        <f>IF(TRIM(D5)="","",D5)</f>
        <v/>
      </c>
      <c r="C5" s="12" t="str">
        <f>title_label</f>
        <v>Tytuł</v>
      </c>
      <c r="D5" s="88"/>
      <c r="E5" s="93"/>
      <c r="F5" s="94"/>
      <c r="G5" s="60" t="s">
        <v>360</v>
      </c>
      <c r="H5" s="37" t="str">
        <f>title_instr</f>
        <v>zgodnie z nietechnicznym streszczeniem projektu</v>
      </c>
      <c r="I5" s="31" t="str">
        <f>compulsory_field_tinstr&amp;" "&amp;maxLength_500_tinstr</f>
        <v>Obowiązkowe! Maksymalna długość wynosi 500 znaków.</v>
      </c>
    </row>
    <row r="6" spans="1:9" s="46" customFormat="1" ht="16.149999999999999" customHeight="1" x14ac:dyDescent="0.25">
      <c r="A6" s="5" t="s">
        <v>277</v>
      </c>
      <c r="B6" s="20" t="str">
        <f>IF(TRIM(D6)="","",D6)</f>
        <v/>
      </c>
      <c r="C6" s="48" t="str">
        <f>ntsIdReference_label</f>
        <v>Identyfikator NSD</v>
      </c>
      <c r="D6" s="99"/>
      <c r="E6" s="100"/>
      <c r="F6" s="101"/>
      <c r="G6" s="60" t="s">
        <v>360</v>
      </c>
      <c r="H6" s="31"/>
      <c r="I6" s="31" t="str">
        <f>compulsory_field_tinstr&amp;" "&amp;ntsIdReference_instr&amp;" "&amp;ntsIdReference_tinstr</f>
        <v>Obowiązkowe! Identyfikator NSD, do którego odnosi się niniejsza OR. Jeśli powiązane NSD nie jest przechowywane w systemie KE, proszę wpisać 0000 w tym polu i wypełnić pole „Identyfikator krajowy NSD”.</v>
      </c>
    </row>
    <row r="7" spans="1:9" s="46" customFormat="1" ht="31.9" customHeight="1" x14ac:dyDescent="0.25">
      <c r="A7" s="5" t="s">
        <v>326</v>
      </c>
      <c r="B7" s="20" t="str">
        <f>IF(TRIM(D7)="","",D7)</f>
        <v/>
      </c>
      <c r="C7" s="71" t="str">
        <f>ntsNationalIdReference_label</f>
        <v>Identyfikator krajowy NSD</v>
      </c>
      <c r="D7" s="109"/>
      <c r="E7" s="102"/>
      <c r="F7" s="103"/>
      <c r="G7" s="10"/>
      <c r="H7" s="31"/>
      <c r="I7" s="31" t="str">
        <f>not_be_published_instr&amp;" "&amp;ntsNationalIdReference_instr&amp;" "&amp;maxLength_500_tinstr</f>
        <v>Pole nie zostanie opublikowane. Identyfikator krajowy NSD, do którego odnosi się niniejsza OR. Maksymalna długość wynosi 500 znaków.</v>
      </c>
    </row>
    <row r="8" spans="1:9" s="46" customFormat="1" ht="15" customHeight="1" x14ac:dyDescent="0.25">
      <c r="A8" s="5" t="s">
        <v>336</v>
      </c>
      <c r="B8" s="20" t="str">
        <f>IF(TRIM(D8)="","",D8)</f>
        <v/>
      </c>
      <c r="C8" s="57" t="str">
        <f>raId_label</f>
        <v>Identyfikator OR</v>
      </c>
      <c r="D8" s="112"/>
      <c r="E8" s="90"/>
      <c r="F8"/>
      <c r="G8" s="10"/>
      <c r="H8" s="31"/>
      <c r="I8" s="31" t="str">
        <f>raId_instr&amp;" "&amp;raId_tinstr</f>
        <v>Niepowtarzalny identyfikator OR przypisany przez centralny system KE. Wypełnić tylko w przypadku aktualizacji OR już przechowywanej w systemie KE.</v>
      </c>
    </row>
    <row r="9" spans="1:9" s="46" customFormat="1" ht="25.9" customHeight="1" x14ac:dyDescent="0.25">
      <c r="A9" s="5" t="s">
        <v>327</v>
      </c>
      <c r="B9" s="20" t="str">
        <f>IF(TRIM(D9)="","",D9)</f>
        <v/>
      </c>
      <c r="C9" s="48" t="str">
        <f>raNationalId_label</f>
        <v>Identyfikator krajowy OR</v>
      </c>
      <c r="D9" s="112"/>
      <c r="E9" s="89"/>
      <c r="F9" s="90"/>
      <c r="G9" s="10"/>
      <c r="H9" s="31"/>
      <c r="I9" s="31" t="str">
        <f>not_be_published_instr&amp;" "&amp;raNationalId_instr&amp;" "&amp;maxLength_500_tinstr</f>
        <v>Pole nie zostanie opublikowane. Identyfikator krajowy OR. Maksymalna długość wynosi 500 znaków.</v>
      </c>
    </row>
    <row r="10" spans="1:9" s="46" customFormat="1" x14ac:dyDescent="0.25">
      <c r="A10" s="5"/>
      <c r="B10" s="24"/>
      <c r="C10" s="113" t="str">
        <f>ra_reasons_label</f>
        <v>Powody oceny retrospektywnej</v>
      </c>
      <c r="D10" s="113"/>
      <c r="E10" s="114" t="str">
        <f>IF((SUM(B11:B13)=0),at_least_one_reason_mssg,"")</f>
        <v>Należy wybrać co najmniej jeden powód!</v>
      </c>
      <c r="F10" s="114"/>
      <c r="G10" s="60" t="s">
        <v>360</v>
      </c>
      <c r="H10" s="31"/>
      <c r="I10" s="31" t="str">
        <f>compulsory_field_tinstr&amp;" "&amp;at_least_one_reason_mssg</f>
        <v>Obowiązkowe! Należy wybrać co najmniej jeden powód!</v>
      </c>
    </row>
    <row r="11" spans="1:9" s="46" customFormat="1" x14ac:dyDescent="0.25">
      <c r="A11" s="5" t="s">
        <v>87</v>
      </c>
      <c r="B11" s="6" t="str">
        <f t="shared" ref="B11:B13" si="0">IF(TRIM(F11)="","",VALUE(MID(F11,SEARCH("[", F11)+1,SEARCH("]",F11)-SEARCH("[",F11)-1)))</f>
        <v/>
      </c>
      <c r="C11" s="47"/>
      <c r="D11" s="115" t="str">
        <f>severeProcedure_label</f>
        <v>Obejmuje dotkliwe procedury</v>
      </c>
      <c r="E11" s="116"/>
      <c r="F11" s="44" t="s">
        <v>6</v>
      </c>
      <c r="G11" s="23"/>
    </row>
    <row r="12" spans="1:9" s="46" customFormat="1" ht="14.25" customHeight="1" x14ac:dyDescent="0.25">
      <c r="A12" s="5" t="s">
        <v>88</v>
      </c>
      <c r="B12" s="6" t="str">
        <f t="shared" si="0"/>
        <v/>
      </c>
      <c r="C12" s="45"/>
      <c r="D12" s="110" t="str">
        <f>nhpUse_label</f>
        <v>Wykorzystuje zwierzęta z rzędu naczelnych</v>
      </c>
      <c r="E12" s="111"/>
      <c r="F12" s="44"/>
      <c r="G12" s="23"/>
    </row>
    <row r="13" spans="1:9" s="46" customFormat="1" x14ac:dyDescent="0.25">
      <c r="A13" s="5" t="s">
        <v>89</v>
      </c>
      <c r="B13" s="6" t="str">
        <f t="shared" si="0"/>
        <v/>
      </c>
      <c r="C13" s="26" t="str">
        <f>IF((B15&lt;&gt;"")*AND(B13&lt;&gt;1),inconsistent_value_mssg,"")</f>
        <v/>
      </c>
      <c r="D13" s="110" t="str">
        <f>other_label</f>
        <v>Inny powód</v>
      </c>
      <c r="E13" s="111"/>
      <c r="F13" s="44"/>
      <c r="G13" s="23"/>
    </row>
    <row r="14" spans="1:9" s="46" customFormat="1" x14ac:dyDescent="0.25">
      <c r="A14" s="5"/>
      <c r="B14" s="6"/>
      <c r="C14" s="91" t="str">
        <f>otherExplanation_label</f>
        <v>Proszę wyjaśnić „Inną powód”</v>
      </c>
      <c r="D14" s="91"/>
      <c r="E14" s="91"/>
      <c r="F14" s="92"/>
      <c r="G14" s="23"/>
      <c r="H14" s="31"/>
    </row>
    <row r="15" spans="1:9" s="46" customFormat="1" ht="57.4" customHeight="1" x14ac:dyDescent="0.25">
      <c r="A15" s="5" t="s">
        <v>90</v>
      </c>
      <c r="B15" s="20" t="str">
        <f>IF(TRIM(C15)="","",C15)</f>
        <v/>
      </c>
      <c r="C15" s="88"/>
      <c r="D15" s="93"/>
      <c r="E15" s="93"/>
      <c r="F15" s="94"/>
      <c r="G15" s="60" t="str">
        <f>IF(B13=1,"*","")</f>
        <v/>
      </c>
      <c r="I15" s="31" t="str">
        <f>otherExplanation_tinstr&amp;" "&amp;maxLength_500_tinstr</f>
        <v>Należy wypełnić, jeśli wybrano inny powód! Maksymalna długość wynosi 500 znaków.</v>
      </c>
    </row>
    <row r="16" spans="1:9" x14ac:dyDescent="0.25">
      <c r="A16" s="5"/>
      <c r="C16" s="98" t="str">
        <f>objectivesAchievement_label</f>
        <v>Realizacja celów</v>
      </c>
      <c r="D16" s="98"/>
      <c r="E16" s="98"/>
      <c r="F16" s="98"/>
      <c r="G16" s="60" t="s">
        <v>360</v>
      </c>
    </row>
    <row r="17" spans="1:9" ht="178.5" customHeight="1" x14ac:dyDescent="0.25">
      <c r="A17" s="5" t="s">
        <v>271</v>
      </c>
      <c r="B17" s="20" t="str">
        <f>IF(TRIM(C17)="","",C17)</f>
        <v/>
      </c>
      <c r="C17" s="99"/>
      <c r="D17" s="100"/>
      <c r="E17" s="100"/>
      <c r="F17" s="101"/>
      <c r="H17" s="37" t="str">
        <f>objectivesAchievement_instr</f>
        <v>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v>
      </c>
      <c r="I17" s="31" t="str">
        <f>compulsory_field_tinstr&amp;" "&amp;maxLength_2500_tinstr</f>
        <v>Obowiązkowe! Maksymalna długość wynosi 2500 znaków.</v>
      </c>
    </row>
    <row r="18" spans="1:9" s="46" customFormat="1" ht="45.4" customHeight="1" x14ac:dyDescent="0.25">
      <c r="A18" s="5" t="s">
        <v>328</v>
      </c>
      <c r="B18" s="4"/>
      <c r="C18" s="95" t="str">
        <f>harms_label</f>
        <v>Rzeczywiste szkody</v>
      </c>
      <c r="D18" s="95"/>
      <c r="E18" s="95"/>
      <c r="F18" s="61" t="str">
        <f>IF(COUNTA(harms[xs:species])&gt;0,"",at_least_one_row_mssg)</f>
        <v>Co najmniej 1 wiersz!</v>
      </c>
      <c r="G18" s="60" t="s">
        <v>360</v>
      </c>
      <c r="H18" s="37"/>
      <c r="I18" s="31" t="str">
        <f>compulsory_field_tinstr&amp;" "&amp;actualHarms_tinstr</f>
        <v>Obowiązkowe! Proszę wypełnić arkusz „Rzeczywiste szkody”. Należy wypełnić co najmniej jeden wiersz!</v>
      </c>
    </row>
    <row r="19" spans="1:9" x14ac:dyDescent="0.25">
      <c r="A19" s="5"/>
      <c r="B19" s="7"/>
      <c r="C19" s="97" t="str">
        <f>comparisonHarms_label</f>
        <v>Jak kształtują się liczba wykorzystanych zwierząt i rzeczywisty stopień dotkliwości w porównaniu z szacowanymi?</v>
      </c>
      <c r="D19" s="97"/>
      <c r="E19" s="97"/>
      <c r="F19" s="97"/>
      <c r="G19" s="60" t="s">
        <v>360</v>
      </c>
    </row>
    <row r="20" spans="1:9" ht="127.5" customHeight="1" x14ac:dyDescent="0.25">
      <c r="A20" s="5" t="s">
        <v>272</v>
      </c>
      <c r="B20" s="20" t="str">
        <f>IF(TRIM(C20)="","",C20)</f>
        <v/>
      </c>
      <c r="C20" s="99"/>
      <c r="D20" s="100"/>
      <c r="E20" s="100"/>
      <c r="F20" s="101"/>
      <c r="H20" s="37" t="str">
        <f>comparisonHarms_instr</f>
        <v>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v>
      </c>
      <c r="I20" s="31" t="str">
        <f>compulsory_field_tinstr&amp;" "&amp;maxLength_2500_tinstr</f>
        <v>Obowiązkowe! Maksymalna długość wynosi 2500 znaków.</v>
      </c>
    </row>
    <row r="21" spans="1:9" x14ac:dyDescent="0.25">
      <c r="A21" s="5"/>
      <c r="B21" s="7"/>
      <c r="C21" s="98" t="str" cm="1">
        <f t="array" ref="C21">comparisonFate_label</f>
        <v>Jak wygląda los zwierząt utrzymywanych przy życiu po zakończeniu badania w porównaniu z szacunkami?</v>
      </c>
      <c r="D21" s="98"/>
      <c r="E21" s="98"/>
      <c r="F21" s="98"/>
    </row>
    <row r="22" spans="1:9" ht="127.5" customHeight="1" x14ac:dyDescent="0.25">
      <c r="A22" s="5" t="s">
        <v>273</v>
      </c>
      <c r="B22" s="20" t="str">
        <f>IF(TRIM(C22)="","",C22)</f>
        <v/>
      </c>
      <c r="C22" s="99"/>
      <c r="D22" s="100"/>
      <c r="E22" s="100"/>
      <c r="F22" s="101"/>
      <c r="H22" s="37" t="str">
        <f>comparisonFate_instr</f>
        <v>Jak wygląda los zwierząt utrzymywanych przy życiu po zakończeniu badania w porównaniu z szacunkami? Proszę przedstawić wyjaśnienie.</v>
      </c>
      <c r="I22" s="31" t="str">
        <f>maxLength_2500_tinstr</f>
        <v>Maksymalna długość wynosi 2500 znaków.</v>
      </c>
    </row>
    <row r="23" spans="1:9" x14ac:dyDescent="0.25">
      <c r="A23" s="5"/>
      <c r="B23" s="7"/>
      <c r="C23" s="96" t="str">
        <f>application_of_the_three_rs_label</f>
        <v>Wszelkie elementy, które mogą przyczynić się do dalszego wdrażania zasady 3R:</v>
      </c>
      <c r="D23" s="96"/>
      <c r="E23" s="96"/>
      <c r="F23" s="96"/>
      <c r="G23" s="96"/>
    </row>
    <row r="24" spans="1:9" x14ac:dyDescent="0.25">
      <c r="A24" s="5"/>
      <c r="B24" s="7"/>
      <c r="C24" s="97" t="str">
        <f>replacementFindings_label</f>
        <v>1. Zastąpienie</v>
      </c>
      <c r="D24" s="97"/>
      <c r="E24" s="97"/>
      <c r="F24" s="97"/>
      <c r="G24" s="60" t="s">
        <v>360</v>
      </c>
    </row>
    <row r="25" spans="1:9" ht="127.5" customHeight="1" x14ac:dyDescent="0.25">
      <c r="A25" s="5" t="s">
        <v>274</v>
      </c>
      <c r="B25" s="20" t="str">
        <f>IF(TRIM(C25)="","",C25)</f>
        <v/>
      </c>
      <c r="C25" s="99"/>
      <c r="D25" s="100"/>
      <c r="E25" s="100"/>
      <c r="F25" s="101"/>
      <c r="H25" s="37" t="str">
        <f>replacementFindings_instr</f>
        <v>Czy dzięki wiedzy uzyskanej w ramach tego projektu zidentyfikowano/rozwinięto nowe podejścia, które mogłyby zastąpić niektóre lub wszystkie przypadki wykorzystania zwierząt w podobnych projektach (w tym opracowanie/zatwierdzenie nowych technik in vitro lub in silico)?</v>
      </c>
      <c r="I25" s="31" t="str">
        <f>compulsory_field_tinstr&amp;" "&amp;maxLength_2500_tinstr</f>
        <v>Obowiązkowe! Maksymalna długość wynosi 2500 znaków.</v>
      </c>
    </row>
    <row r="26" spans="1:9" x14ac:dyDescent="0.25">
      <c r="A26" s="5"/>
      <c r="B26" s="7"/>
      <c r="C26" s="98" t="str">
        <f>reductionFindings_label</f>
        <v>2. Ograniczenie</v>
      </c>
      <c r="D26" s="98"/>
      <c r="E26" s="98"/>
      <c r="F26" s="98"/>
      <c r="G26" s="60" t="s">
        <v>360</v>
      </c>
    </row>
    <row r="27" spans="1:9" ht="127.5" customHeight="1" x14ac:dyDescent="0.25">
      <c r="A27" s="5" t="s">
        <v>275</v>
      </c>
      <c r="B27" s="20" t="str">
        <f>IF(TRIM(C27)="","",C27)</f>
        <v/>
      </c>
      <c r="C27" s="99"/>
      <c r="D27" s="100"/>
      <c r="E27" s="100"/>
      <c r="F27" s="101"/>
      <c r="H27" s="37" t="str">
        <f>reductionFindings_instr</f>
        <v>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v>
      </c>
      <c r="I27" s="31" t="str">
        <f>compulsory_field_tinstr&amp;" "&amp;maxLength_2500_tinstr</f>
        <v>Obowiązkowe! Maksymalna długość wynosi 2500 znaków.</v>
      </c>
    </row>
    <row r="28" spans="1:9" x14ac:dyDescent="0.25">
      <c r="A28" s="5"/>
      <c r="B28" s="7"/>
      <c r="C28" s="98" t="str">
        <f>refinementFindings_label</f>
        <v>3. Udoskonalenie</v>
      </c>
      <c r="D28" s="98"/>
      <c r="E28" s="98"/>
      <c r="F28" s="98"/>
      <c r="G28" s="60" t="s">
        <v>360</v>
      </c>
    </row>
    <row r="29" spans="1:9" ht="258.75" customHeight="1" x14ac:dyDescent="0.25">
      <c r="A29" s="5" t="s">
        <v>276</v>
      </c>
      <c r="B29" s="20" t="str">
        <f>IF(TRIM(C29)="","",C29)</f>
        <v/>
      </c>
      <c r="C29" s="99"/>
      <c r="D29" s="100"/>
      <c r="E29" s="100"/>
      <c r="F29" s="101"/>
      <c r="H29" s="37" t="str">
        <f>refinementFindings_instr</f>
        <v>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v>
      </c>
      <c r="I29" s="31" t="str">
        <f>compulsory_field_tinstr&amp;" "&amp;maxLength_2500_tinstr</f>
        <v>Obowiązkowe! Maksymalna długość wynosi 2500 znaków.</v>
      </c>
    </row>
    <row r="30" spans="1:9" x14ac:dyDescent="0.25">
      <c r="A30" s="5"/>
      <c r="B30" s="7"/>
      <c r="C30" s="98" t="str">
        <f>other_title</f>
        <v>4. Inne</v>
      </c>
      <c r="D30" s="98"/>
      <c r="E30" s="98"/>
      <c r="F30" s="98"/>
      <c r="G30" s="60" t="s">
        <v>360</v>
      </c>
    </row>
    <row r="31" spans="1:9" ht="127.5" customHeight="1" x14ac:dyDescent="0.25">
      <c r="A31" s="5" t="s">
        <v>329</v>
      </c>
      <c r="B31" s="20" t="str">
        <f>IF(TRIM(C31)="","",C31)</f>
        <v/>
      </c>
      <c r="C31" s="99"/>
      <c r="D31" s="100"/>
      <c r="E31" s="100"/>
      <c r="F31" s="101"/>
      <c r="H31" s="37" t="str">
        <f>findingsDissemination_instr</f>
        <v>W jaki sposób są rozpowszechniane wnioski dotyczące dalszej realizacji zasady 3R?</v>
      </c>
      <c r="I31" s="31" t="str">
        <f>compulsory_field_tinstr&amp;" "&amp;maxLength_2500_tinstr</f>
        <v>Obowiązkowe! Maksymalna długość wynosi 2500 znaków.</v>
      </c>
    </row>
    <row r="32" spans="1:9" s="46" customFormat="1" x14ac:dyDescent="0.25">
      <c r="A32" s="5"/>
      <c r="B32" s="7"/>
      <c r="C32" s="118" t="str">
        <f>comments_label</f>
        <v>Uwagi dodatkowe</v>
      </c>
      <c r="D32" s="118"/>
      <c r="E32" s="118"/>
      <c r="F32" s="118"/>
      <c r="G32" s="10"/>
    </row>
    <row r="33" spans="1:9" s="46" customFormat="1" ht="127.5" customHeight="1" x14ac:dyDescent="0.25">
      <c r="A33" s="5" t="s">
        <v>330</v>
      </c>
      <c r="B33" s="20" t="str">
        <f>IF(TRIM(C33)="","",C33)</f>
        <v/>
      </c>
      <c r="C33" s="88"/>
      <c r="D33" s="93"/>
      <c r="E33" s="93"/>
      <c r="F33" s="94"/>
      <c r="G33" s="10"/>
      <c r="H33" s="37"/>
      <c r="I33" s="31" t="str">
        <f>maxLength_2500_tinstr</f>
        <v>Maksymalna długość wynosi 2500 znaków.</v>
      </c>
    </row>
    <row r="34" spans="1:9" x14ac:dyDescent="0.25">
      <c r="A34" s="5"/>
      <c r="B34" s="7"/>
      <c r="C34" s="117" t="str">
        <f>additional_fields_title</f>
        <v>Dodatkowe pola</v>
      </c>
      <c r="D34" s="117"/>
      <c r="E34" s="117"/>
      <c r="F34" s="117"/>
      <c r="I34" s="31" t="str">
        <f>additional_fields_tinstr</f>
        <v>To, czy dane pole ma zastosowanie, zależy od przepisów krajowych.</v>
      </c>
    </row>
    <row r="35" spans="1:9" s="46" customFormat="1" ht="31.9" customHeight="1" x14ac:dyDescent="0.25">
      <c r="A35" s="5" t="s">
        <v>331</v>
      </c>
      <c r="B35" s="20" t="str">
        <f>IF(TRIM(D35)="","",D35)</f>
        <v/>
      </c>
      <c r="C35" s="30" t="str">
        <f>field1_label</f>
        <v>Pole krajowe 1</v>
      </c>
      <c r="D35" s="99"/>
      <c r="E35" s="102"/>
      <c r="F35" s="103"/>
      <c r="G35" s="10"/>
      <c r="H35" s="31"/>
      <c r="I35" s="31" t="str">
        <f>not_be_published_instr&amp;" "&amp;maxLength_2500_tinstr</f>
        <v>Pole nie zostanie opublikowane. Maksymalna długość wynosi 2500 znaków.</v>
      </c>
    </row>
    <row r="36" spans="1:9" s="46" customFormat="1" ht="31.9" customHeight="1" x14ac:dyDescent="0.25">
      <c r="A36" s="5" t="s">
        <v>332</v>
      </c>
      <c r="B36" s="20" t="str">
        <f t="shared" ref="B36:B37" si="1">IF(TRIM(D36)="","",D36)</f>
        <v/>
      </c>
      <c r="C36" s="30" t="str">
        <f>field2_label</f>
        <v>Pole krajowe 2</v>
      </c>
      <c r="D36" s="99"/>
      <c r="E36" s="100"/>
      <c r="F36" s="101"/>
      <c r="G36" s="10"/>
      <c r="H36" s="31"/>
      <c r="I36" s="31" t="str">
        <f>not_be_published_instr&amp;" "&amp;maxLength_2500_tinstr</f>
        <v>Pole nie zostanie opublikowane. Maksymalna długość wynosi 2500 znaków.</v>
      </c>
    </row>
    <row r="37" spans="1:9" s="46" customFormat="1" ht="32.65" customHeight="1" x14ac:dyDescent="0.25">
      <c r="A37" s="5" t="s">
        <v>333</v>
      </c>
      <c r="B37" s="20" t="str">
        <f t="shared" si="1"/>
        <v/>
      </c>
      <c r="C37" s="30" t="str">
        <f>field3_label</f>
        <v>Pole krajowe 3</v>
      </c>
      <c r="D37" s="99"/>
      <c r="E37" s="102"/>
      <c r="F37" s="103"/>
      <c r="G37" s="10"/>
      <c r="H37" s="31"/>
      <c r="I37" s="31" t="str">
        <f>not_be_published_instr&amp;" "&amp;maxLength_2500_tinstr</f>
        <v>Pole nie zostanie opublikowane. Maksymalna długość wynosi 2500 znaków.</v>
      </c>
    </row>
    <row r="38" spans="1:9" s="46" customFormat="1" ht="32.65" customHeight="1" x14ac:dyDescent="0.25">
      <c r="A38" s="5" t="s">
        <v>334</v>
      </c>
      <c r="B38" s="20" t="str">
        <f t="shared" ref="B38:B41" si="2">IF(TRIM(D38)="","",D38)</f>
        <v/>
      </c>
      <c r="C38" s="30" t="str">
        <f>field4_label</f>
        <v>Pole krajowe 4</v>
      </c>
      <c r="D38" s="99"/>
      <c r="E38" s="102"/>
      <c r="F38" s="103"/>
      <c r="G38" s="10"/>
      <c r="H38" s="31"/>
      <c r="I38" s="31" t="str">
        <f>not_be_published_instr&amp;" "&amp;maxLength_2500_tinstr</f>
        <v>Pole nie zostanie opublikowane. Maksymalna długość wynosi 2500 znaków.</v>
      </c>
    </row>
    <row r="39" spans="1:9" s="46" customFormat="1" ht="32.65" customHeight="1" x14ac:dyDescent="0.25">
      <c r="A39" s="5" t="s">
        <v>335</v>
      </c>
      <c r="B39" s="20" t="str">
        <f t="shared" si="2"/>
        <v/>
      </c>
      <c r="C39" s="30" t="str">
        <f>field5_label</f>
        <v>Pole krajowe 5</v>
      </c>
      <c r="D39" s="99"/>
      <c r="E39" s="102"/>
      <c r="F39" s="103"/>
      <c r="G39" s="10"/>
      <c r="H39" s="31"/>
      <c r="I39" s="31" t="str">
        <f>not_be_published_instr&amp;" "&amp;maxLength_2500_tinstr</f>
        <v>Pole nie zostanie opublikowane. Maksymalna długość wynosi 2500 znaków.</v>
      </c>
    </row>
    <row r="40" spans="1:9" ht="66" customHeight="1" x14ac:dyDescent="0.25">
      <c r="A40" s="5" t="s">
        <v>347</v>
      </c>
      <c r="B40" s="20" t="str">
        <f t="shared" si="2"/>
        <v/>
      </c>
      <c r="C40" s="59" t="str">
        <f>raPreviousVersionExternalLink_label</f>
        <v>Link do poprzedniej wersji OR poza systemem KE</v>
      </c>
      <c r="D40" s="88"/>
      <c r="E40" s="89"/>
      <c r="F40" s="90"/>
      <c r="H40" s="37"/>
      <c r="I40" s="31" t="str">
        <f>raPreviousVersionExternalLink_instr&amp;" "&amp;maxLength_500_tinstr</f>
        <v>Do wykorzystania w okresie przejściowym, kiedy poprzednia wersja OR mogłaby nie istnieć w systemie KE. Maksymalna długość wynosi 500 znaków.</v>
      </c>
    </row>
    <row r="41" spans="1:9" ht="80.25" customHeight="1" x14ac:dyDescent="0.25">
      <c r="A41" s="5" t="s">
        <v>348</v>
      </c>
      <c r="B41" s="20" t="str">
        <f t="shared" si="2"/>
        <v/>
      </c>
      <c r="C41" s="59" t="str">
        <f>ntsExternalLink_label</f>
        <v>Link do NSD, do którego odnosi się niniejsza OR, które nie jest w systemie KE.</v>
      </c>
      <c r="D41" s="88"/>
      <c r="E41" s="89"/>
      <c r="F41" s="90"/>
      <c r="H41" s="37"/>
      <c r="I41" s="31" t="str">
        <f>ntsExternalLink_instr&amp;" "&amp;maxLength_500_tinstr</f>
        <v>Do wykorzystania w okresie przejściowym, kiedy NSD, do którego odnosi się OR, mogłoby nie istnieć w systemie KE. Maksymalna długość wynosi 500 znaków.</v>
      </c>
    </row>
    <row r="42" spans="1:9" x14ac:dyDescent="0.25">
      <c r="F42" s="33" t="s">
        <v>63</v>
      </c>
    </row>
    <row r="43" spans="1:9" x14ac:dyDescent="0.25">
      <c r="F43" s="33" t="s">
        <v>63</v>
      </c>
    </row>
    <row r="44" spans="1:9" x14ac:dyDescent="0.25">
      <c r="F44" s="33" t="s">
        <v>63</v>
      </c>
    </row>
    <row r="45" spans="1:9" x14ac:dyDescent="0.25">
      <c r="F45" s="33" t="s">
        <v>63</v>
      </c>
    </row>
    <row r="46" spans="1:9" x14ac:dyDescent="0.25">
      <c r="F46" s="33" t="s">
        <v>63</v>
      </c>
    </row>
    <row r="47" spans="1:9" x14ac:dyDescent="0.25">
      <c r="F47" s="33" t="s">
        <v>63</v>
      </c>
    </row>
    <row r="54" spans="6:6" x14ac:dyDescent="0.25">
      <c r="F54" s="29"/>
    </row>
  </sheetData>
  <sheetProtection password="B11E" sheet="1" selectLockedCells="1"/>
  <mergeCells count="40">
    <mergeCell ref="C34:F34"/>
    <mergeCell ref="D35:F35"/>
    <mergeCell ref="C32:F32"/>
    <mergeCell ref="C33:F33"/>
    <mergeCell ref="C28:F28"/>
    <mergeCell ref="C29:F29"/>
    <mergeCell ref="C30:F30"/>
    <mergeCell ref="C31:F31"/>
    <mergeCell ref="D13:E13"/>
    <mergeCell ref="C16:F16"/>
    <mergeCell ref="D8:E8"/>
    <mergeCell ref="C19:F19"/>
    <mergeCell ref="C20:F20"/>
    <mergeCell ref="C17:F17"/>
    <mergeCell ref="D9:F9"/>
    <mergeCell ref="C10:D10"/>
    <mergeCell ref="E10:F10"/>
    <mergeCell ref="D11:E11"/>
    <mergeCell ref="D12:E12"/>
    <mergeCell ref="C1:F1"/>
    <mergeCell ref="E2:F4"/>
    <mergeCell ref="D5:F5"/>
    <mergeCell ref="D6:F6"/>
    <mergeCell ref="D7:F7"/>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formula1>languages</formula1>
    </dataValidation>
    <dataValidation allowBlank="1" showInputMessage="1" promptTitle="Legend" prompt="M: Mandatory_x000a_NA: Not applicable" sqref="G1"/>
    <dataValidation type="list" showInputMessage="1" showErrorMessage="1" sqref="F11:F13">
      <formula1>choice_optional</formula1>
    </dataValidation>
    <dataValidation type="list" allowBlank="1" showInputMessage="1" showErrorMessage="1" sqref="D2">
      <formula1>countries</formula1>
    </dataValidation>
    <dataValidation type="textLength" allowBlank="1" showInputMessage="1" showErrorMessage="1" error="Maximum length of title is 500 characters!" sqref="D5:F5">
      <formula1>1</formula1>
      <formula2>500</formula2>
    </dataValidation>
    <dataValidation type="textLength" allowBlank="1" showInputMessage="1" showErrorMessage="1" error="Maximum length is 2500 characters!" prompt="Press Alt+Enter for a new line." sqref="C17:F17 C20:F20 C31:F31 C25:F25 C27:F27 C29:F29">
      <formula1>1</formula1>
      <formula2>2500</formula2>
    </dataValidation>
    <dataValidation type="textLength" operator="lessThanOrEqual" allowBlank="1" showInputMessage="1" showErrorMessage="1" error="Maximum length is 500 characters!" sqref="C15:F15 D7:D9 F7:F9 E7 E9 D40:F41">
      <formula1>500</formula1>
    </dataValidation>
    <dataValidation showInputMessage="1" showErrorMessage="1" sqref="C18:E18"/>
    <dataValidation type="textLength" operator="lessThanOrEqual" allowBlank="1" showInputMessage="1" showErrorMessage="1" error="Maximum length is 2500 characters!" prompt="Press Alt+Enter for a new line." sqref="C33:F33 C22:F22">
      <formula1>2500</formula1>
    </dataValidation>
    <dataValidation type="textLength" operator="lessThanOrEqual" allowBlank="1" showInputMessage="1" showErrorMessage="1" error="Maximum length is 100 characters!" sqref="D6:F6">
      <formula1>100</formula1>
    </dataValidation>
    <dataValidation type="textLength" operator="lessThanOrEqual" allowBlank="1" showInputMessage="1" showErrorMessage="1" error="Maximum length is 2500 characters!" sqref="D35:F39">
      <formula1>2500</formula1>
    </dataValidation>
    <dataValidation type="list" allowBlank="1" showInputMessage="1" showErrorMessage="1" sqref="D4">
      <formula1>choice_mandatory</formula1>
    </dataValidation>
  </dataValidations>
  <hyperlinks>
    <hyperlink ref="C18:E18" location="'Actual harms'!A1" display="'Actual harms'!A1"/>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140625" defaultRowHeight="15" x14ac:dyDescent="0.25"/>
  <cols>
    <col min="1" max="1" width="64.140625" style="43" customWidth="1"/>
    <col min="2" max="2" width="13.5703125" style="43" customWidth="1"/>
    <col min="3" max="3" width="11.7109375" style="43" customWidth="1"/>
    <col min="4" max="4" width="12.42578125" style="9" customWidth="1"/>
    <col min="5" max="5" width="11.28515625" style="9" customWidth="1"/>
    <col min="6" max="6" width="18.85546875" style="9" hidden="1" customWidth="1"/>
    <col min="7" max="7" width="30.140625" style="36" customWidth="1"/>
    <col min="8" max="8" width="58.5703125" style="9" customWidth="1"/>
    <col min="9" max="16384" width="9.140625" style="9"/>
  </cols>
  <sheetData>
    <row r="1" spans="1:8" ht="40.9" customHeight="1" thickBot="1" x14ac:dyDescent="0.4">
      <c r="A1" s="38" t="str">
        <f>harms_label</f>
        <v>Rzeczywiste szkody</v>
      </c>
      <c r="B1" s="119" t="str">
        <f>numbers_per_severity_label</f>
        <v>Liczba zwierząt według rzeczywistego stopnia dotkliwości</v>
      </c>
      <c r="C1" s="119"/>
      <c r="D1" s="119"/>
      <c r="E1" s="119"/>
      <c r="F1" s="58"/>
      <c r="G1" s="40"/>
    </row>
    <row r="2" spans="1:8" ht="70.900000000000006" customHeight="1" thickBot="1" x14ac:dyDescent="0.3">
      <c r="A2" s="41" t="str">
        <f>species_label</f>
        <v>Gatunek</v>
      </c>
      <c r="B2" s="87" t="str">
        <f>nonRecovery_label</f>
        <v>Terminalne</v>
      </c>
      <c r="C2" s="87" t="str">
        <f>mild_label</f>
        <v>Łagodne</v>
      </c>
      <c r="D2" s="87" t="str">
        <f>moderate_label</f>
        <v>Umiarkowane</v>
      </c>
      <c r="E2" s="87" t="str">
        <f>severe_label</f>
        <v>Dotkliwe</v>
      </c>
      <c r="F2" s="39" t="str">
        <f>custom_severity_label</f>
        <v>Stopnie dotkliwości właściwe dla danego państwa członkowskiego</v>
      </c>
    </row>
    <row r="3" spans="1:8" ht="15" hidden="1" customHeight="1" x14ac:dyDescent="0.25">
      <c r="A3" s="35" t="s">
        <v>92</v>
      </c>
      <c r="B3" s="42" t="s">
        <v>93</v>
      </c>
      <c r="C3" s="42" t="s">
        <v>94</v>
      </c>
      <c r="D3" s="42" t="s">
        <v>95</v>
      </c>
      <c r="E3" s="42" t="s">
        <v>96</v>
      </c>
      <c r="F3" s="42" t="s">
        <v>357</v>
      </c>
    </row>
    <row r="4" spans="1:8" x14ac:dyDescent="0.25">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25">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25">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25">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25">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25">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25">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25">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25">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25">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25">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25">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25">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25">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25">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25">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25">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25">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25">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25">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25">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25">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25">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25">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25">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25">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25">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25">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25">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25">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25">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25">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25">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25">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25">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25">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25">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25">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25">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25">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25"/>
  <sheetViews>
    <sheetView workbookViewId="0">
      <selection activeCell="D1" sqref="A1:XFD1048576"/>
    </sheetView>
  </sheetViews>
  <sheetFormatPr defaultColWidth="9.140625" defaultRowHeight="15" x14ac:dyDescent="0.25"/>
  <cols>
    <col min="1" max="1" width="30" style="9" customWidth="1"/>
    <col min="2" max="2" width="26.7109375" style="9" customWidth="1"/>
    <col min="3" max="3" width="30.140625" style="9" customWidth="1"/>
    <col min="4" max="4" width="9.28515625" style="9" customWidth="1"/>
    <col min="5" max="5" width="8.7109375" style="9" customWidth="1"/>
    <col min="6" max="6" width="8.5703125" style="9" customWidth="1"/>
    <col min="7" max="7" width="8.42578125" style="9" customWidth="1"/>
    <col min="8" max="10" width="9.140625" style="9"/>
    <col min="11" max="11" width="15" style="9" customWidth="1"/>
    <col min="12" max="16384" width="9.140625" style="9"/>
  </cols>
  <sheetData>
    <row r="1" spans="1:29" ht="15.75" thickBot="1" x14ac:dyDescent="0.3"/>
    <row r="2" spans="1:29" s="73" customFormat="1" ht="15.75" thickBot="1" x14ac:dyDescent="0.3">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5.75" thickBot="1" x14ac:dyDescent="0.3"/>
    <row r="4" spans="1:29" s="73" customFormat="1" x14ac:dyDescent="0.25">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25">
      <c r="A5" s="9">
        <v>1</v>
      </c>
      <c r="B5" s="9" t="str">
        <f>IF(TRIM(HLOOKUP(language_or_default,choiceTranslations,MATCH(A5,choiceCode,0),FALSE))="",HLOOKUP("en",choiceTranslations,MATCH(A5,choiceCode,0),FALSE),HLOOKUP(language_or_default,choiceTranslations,MATCH(A5,choiceCode,0),FALSE))</f>
        <v>tak</v>
      </c>
      <c r="C5" s="9" t="str">
        <f>CONCATENATE(B5," ","[",A5,"]")</f>
        <v>tak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5.75" thickBot="1" x14ac:dyDescent="0.3">
      <c r="A6" s="9">
        <v>0</v>
      </c>
      <c r="B6" s="9" t="str">
        <f>IF(TRIM(HLOOKUP(language_or_default,choiceTranslations,MATCH(A6,choiceCode,0),FALSE))="",HLOOKUP("en",choiceTranslations,MATCH(A6,choiceCode,0),FALSE),HLOOKUP(language_or_default,choiceTranslations,MATCH(A6,choiceCode,0),FALSE))</f>
        <v>nie</v>
      </c>
      <c r="C6" s="9" t="str">
        <f>CONCATENATE(B6," ","[",A6,"]")</f>
        <v>nie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5.75" thickBot="1" x14ac:dyDescent="0.3">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25">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25">
      <c r="A9" s="9" t="s">
        <v>105</v>
      </c>
      <c r="B9" s="72" t="str">
        <f t="shared" ref="B9:B50" si="2">IF(TRIM(HLOOKUP(language_or_default,speciesTranslations,MATCH(A9,speciesCode,0),FALSE))="",HLOOKUP("en",speciesTranslations,MATCH(A9,speciesCode,0),FALSE),HLOOKUP(language_or_default,speciesTranslations,MATCH(A9,speciesCode,0),FALSE))</f>
        <v>Myszy</v>
      </c>
      <c r="C9" s="72" t="str">
        <f>CONCATENATE(B9," (",AC9,") ","[",A9,"]")</f>
        <v>Myszy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25">
      <c r="A10" s="9" t="s">
        <v>106</v>
      </c>
      <c r="B10" s="72" t="str">
        <f t="shared" si="2"/>
        <v>Szczury</v>
      </c>
      <c r="C10" s="72" t="str">
        <f t="shared" ref="C10:C50" si="3">CONCATENATE(B10," (",AC10,") ","[",A10,"]")</f>
        <v>Szczury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25">
      <c r="A11" s="9" t="s">
        <v>107</v>
      </c>
      <c r="B11" s="72" t="str">
        <f t="shared" si="2"/>
        <v>Świnki morskie</v>
      </c>
      <c r="C11" s="72" t="str">
        <f t="shared" si="3"/>
        <v>Świnki morskie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25">
      <c r="A12" s="9" t="s">
        <v>108</v>
      </c>
      <c r="B12" s="72" t="str">
        <f t="shared" si="2"/>
        <v>Chomiki (syryjskie)</v>
      </c>
      <c r="C12" s="72" t="str">
        <f t="shared" si="3"/>
        <v>Chomiki (syryjskie)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25">
      <c r="A13" s="9" t="s">
        <v>109</v>
      </c>
      <c r="B13" s="72" t="str">
        <f t="shared" si="2"/>
        <v>Chomiki (chińskie)</v>
      </c>
      <c r="C13" s="72" t="str">
        <f t="shared" si="3"/>
        <v>Chomiki (chińskie)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25">
      <c r="A14" s="9" t="s">
        <v>110</v>
      </c>
      <c r="B14" s="72" t="str">
        <f t="shared" si="2"/>
        <v>Myszoskoczek mongolski</v>
      </c>
      <c r="C14" s="72" t="str">
        <f t="shared" si="3"/>
        <v>Myszoskoczek mongolski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25">
      <c r="A15" s="9" t="s">
        <v>111</v>
      </c>
      <c r="B15" s="72" t="str">
        <f t="shared" si="2"/>
        <v>Inne gryzonie</v>
      </c>
      <c r="C15" s="72" t="str">
        <f t="shared" si="3"/>
        <v>Inne gryzonie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25">
      <c r="A16" s="9" t="s">
        <v>112</v>
      </c>
      <c r="B16" s="72" t="str">
        <f t="shared" si="2"/>
        <v>Króliki</v>
      </c>
      <c r="C16" s="72" t="str">
        <f t="shared" si="3"/>
        <v>Króliki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25">
      <c r="A17" s="9" t="s">
        <v>113</v>
      </c>
      <c r="B17" s="72" t="str">
        <f t="shared" si="2"/>
        <v>Koty</v>
      </c>
      <c r="C17" s="72" t="str">
        <f t="shared" si="3"/>
        <v>Koty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25">
      <c r="A18" s="9" t="s">
        <v>114</v>
      </c>
      <c r="B18" s="72" t="str">
        <f t="shared" si="2"/>
        <v>Psy</v>
      </c>
      <c r="C18" s="72" t="str">
        <f t="shared" si="3"/>
        <v>Psy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25">
      <c r="A19" s="9" t="s">
        <v>115</v>
      </c>
      <c r="B19" s="72" t="str">
        <f t="shared" si="2"/>
        <v>Fretki</v>
      </c>
      <c r="C19" s="72" t="str">
        <f t="shared" si="3"/>
        <v>Fretki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25">
      <c r="A20" s="9" t="s">
        <v>116</v>
      </c>
      <c r="B20" s="72" t="str">
        <f t="shared" si="2"/>
        <v>Inne zwierzęta drapieżne</v>
      </c>
      <c r="C20" s="72" t="str">
        <f t="shared" si="3"/>
        <v>Inne zwierzęta drapieżne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25">
      <c r="A21" s="9" t="s">
        <v>117</v>
      </c>
      <c r="B21" s="72" t="str">
        <f t="shared" si="2"/>
        <v>Konie, osły i ich mieszańce</v>
      </c>
      <c r="C21" s="72" t="str">
        <f t="shared" si="3"/>
        <v>Konie, osły i ich mieszańce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25">
      <c r="A22" s="9" t="s">
        <v>118</v>
      </c>
      <c r="B22" s="72" t="str">
        <f t="shared" si="2"/>
        <v>Świnie</v>
      </c>
      <c r="C22" s="72" t="str">
        <f t="shared" si="3"/>
        <v>Świnie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25">
      <c r="A23" s="9" t="s">
        <v>119</v>
      </c>
      <c r="B23" s="72" t="str">
        <f t="shared" si="2"/>
        <v>Kozy</v>
      </c>
      <c r="C23" s="72" t="str">
        <f t="shared" si="3"/>
        <v>Kozy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25">
      <c r="A24" s="9" t="s">
        <v>120</v>
      </c>
      <c r="B24" s="72" t="str">
        <f t="shared" si="2"/>
        <v>Owce</v>
      </c>
      <c r="C24" s="72" t="str">
        <f t="shared" si="3"/>
        <v>Owce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25">
      <c r="A25" s="9" t="s">
        <v>121</v>
      </c>
      <c r="B25" s="72" t="str">
        <f t="shared" si="2"/>
        <v>Bydło</v>
      </c>
      <c r="C25" s="72" t="str">
        <f t="shared" si="3"/>
        <v>Bydło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25">
      <c r="A26" s="9" t="s">
        <v>122</v>
      </c>
      <c r="B26" s="72" t="str">
        <f t="shared" si="2"/>
        <v>Małpiatki</v>
      </c>
      <c r="C26" s="72" t="str">
        <f t="shared" si="3"/>
        <v>Małpiatki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25">
      <c r="A27" s="9" t="s">
        <v>123</v>
      </c>
      <c r="B27" s="72" t="str">
        <f t="shared" si="2"/>
        <v>Marmozety i tamaryny</v>
      </c>
      <c r="C27" s="72" t="str">
        <f t="shared" si="3"/>
        <v>Marmozety i tamaryny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25">
      <c r="A28" s="9" t="s">
        <v>124</v>
      </c>
      <c r="B28" s="72" t="str">
        <f t="shared" si="2"/>
        <v>Makak jawajski</v>
      </c>
      <c r="C28" s="72" t="str">
        <f t="shared" si="3"/>
        <v>Makak jawajski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25">
      <c r="A29" s="9" t="s">
        <v>125</v>
      </c>
      <c r="B29" s="72" t="str">
        <f t="shared" si="2"/>
        <v>Makak rezus</v>
      </c>
      <c r="C29" s="72" t="str">
        <f t="shared" si="3"/>
        <v>Makak rezus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25">
      <c r="A30" s="9" t="s">
        <v>126</v>
      </c>
      <c r="B30" s="72" t="str">
        <f t="shared" si="2"/>
        <v>Koczkodany (Chlorocebus spp.)</v>
      </c>
      <c r="C30" s="72" t="str">
        <f t="shared" si="3"/>
        <v>Koczkodany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25">
      <c r="A31" s="9" t="s">
        <v>127</v>
      </c>
      <c r="B31" s="72" t="str">
        <f t="shared" si="2"/>
        <v>Pawiany</v>
      </c>
      <c r="C31" s="72" t="str">
        <f t="shared" si="3"/>
        <v>Pawiany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25">
      <c r="A32" s="9" t="s">
        <v>128</v>
      </c>
      <c r="B32" s="72" t="str">
        <f t="shared" si="2"/>
        <v>Sajmiri wiewiórcza</v>
      </c>
      <c r="C32" s="72" t="str">
        <f t="shared" si="3"/>
        <v>Sajmiri wiewiórcza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25">
      <c r="A33" s="9" t="s">
        <v>129</v>
      </c>
      <c r="B33" s="72" t="str">
        <f t="shared" si="2"/>
        <v>Pozostałe gatunki małp wąskonosych</v>
      </c>
      <c r="C33" s="72" t="str">
        <f t="shared" si="3"/>
        <v>Pozostałe gatunki małp wąskonosych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25">
      <c r="A34" s="9" t="s">
        <v>130</v>
      </c>
      <c r="B34" s="72" t="str">
        <f t="shared" si="2"/>
        <v>Pozostałe gatunki małp szerokonosych</v>
      </c>
      <c r="C34" s="72" t="str">
        <f t="shared" si="3"/>
        <v>Pozostałe gatunki małp szerokonosych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25">
      <c r="A35" s="9" t="s">
        <v>131</v>
      </c>
      <c r="B35" s="72" t="str">
        <f t="shared" si="2"/>
        <v>Małpy człekokształtne</v>
      </c>
      <c r="C35" s="72" t="str">
        <f t="shared" si="3"/>
        <v>Małpy człekokształtne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25">
      <c r="A36" s="9" t="s">
        <v>132</v>
      </c>
      <c r="B36" s="72" t="str">
        <f t="shared" si="2"/>
        <v>Inne ssaki</v>
      </c>
      <c r="C36" s="72" t="str">
        <f t="shared" si="3"/>
        <v>Inne ssaki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25">
      <c r="A37" s="9" t="s">
        <v>133</v>
      </c>
      <c r="B37" s="72" t="str">
        <f t="shared" si="2"/>
        <v>Kura domowa</v>
      </c>
      <c r="C37" s="72" t="str">
        <f t="shared" si="3"/>
        <v>Kura domowa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25">
      <c r="A38" s="81" t="s">
        <v>285</v>
      </c>
      <c r="B38" s="72" t="str">
        <f t="shared" si="2"/>
        <v>Indyk</v>
      </c>
      <c r="C38" s="72" t="str">
        <f t="shared" si="3"/>
        <v>Indyk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25">
      <c r="A39" s="9" t="s">
        <v>134</v>
      </c>
      <c r="B39" s="72" t="str">
        <f t="shared" si="2"/>
        <v>Inne ptaki</v>
      </c>
      <c r="C39" s="72" t="str">
        <f t="shared" si="3"/>
        <v>Inne ptaki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25">
      <c r="A40" s="9" t="s">
        <v>135</v>
      </c>
      <c r="B40" s="72" t="str">
        <f t="shared" si="2"/>
        <v>Gady</v>
      </c>
      <c r="C40" s="72" t="str">
        <f t="shared" si="3"/>
        <v>Gady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25">
      <c r="A41" s="9" t="s">
        <v>136</v>
      </c>
      <c r="B41" s="72" t="str">
        <f t="shared" si="2"/>
        <v>Żaby</v>
      </c>
      <c r="C41" s="72" t="str">
        <f t="shared" si="3"/>
        <v>Żaby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25">
      <c r="A42" s="9" t="s">
        <v>137</v>
      </c>
      <c r="B42" s="72" t="str">
        <f t="shared" si="2"/>
        <v>Grzbietorodowate</v>
      </c>
      <c r="C42" s="72" t="str">
        <f t="shared" si="3"/>
        <v>Grzbietorodowate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25">
      <c r="A43" s="9" t="s">
        <v>138</v>
      </c>
      <c r="B43" s="72" t="str">
        <f t="shared" si="2"/>
        <v>Inne płazy</v>
      </c>
      <c r="C43" s="72" t="str">
        <f t="shared" si="3"/>
        <v>Inne płazy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25">
      <c r="A44" s="9" t="s">
        <v>139</v>
      </c>
      <c r="B44" s="72" t="str">
        <f t="shared" si="2"/>
        <v>Danio pręgowany</v>
      </c>
      <c r="C44" s="72" t="str">
        <f t="shared" si="3"/>
        <v>Danio pręgowany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25">
      <c r="A45" s="81" t="s">
        <v>286</v>
      </c>
      <c r="B45" s="72" t="str">
        <f t="shared" si="2"/>
        <v>Labraks</v>
      </c>
      <c r="C45" s="72" t="str">
        <f t="shared" si="3"/>
        <v>Labraks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25">
      <c r="A46" s="81" t="s">
        <v>287</v>
      </c>
      <c r="B46" s="72" t="str">
        <f t="shared" si="2"/>
        <v>Łosoś, pstrąg, palie i lipienie</v>
      </c>
      <c r="C46" s="72" t="str">
        <f t="shared" si="3"/>
        <v>Łosoś, pstrąg, palie i lipienie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25">
      <c r="A47" s="81" t="s">
        <v>288</v>
      </c>
      <c r="B47" s="72" t="str">
        <f t="shared" si="2"/>
        <v>Gupik, mieczyk, molinezja ostropyska, zmienniak plamisty</v>
      </c>
      <c r="C47" s="72" t="str">
        <f t="shared" si="3"/>
        <v>Gupik, mieczyk, molinezja ostropyska, zmienniak plamisty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25">
      <c r="A48" s="9" t="s">
        <v>140</v>
      </c>
      <c r="B48" s="72" t="str">
        <f t="shared" si="2"/>
        <v>Inne ryby</v>
      </c>
      <c r="C48" s="72" t="str">
        <f t="shared" si="3"/>
        <v>Inne ryby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25">
      <c r="A49" s="9" t="s">
        <v>141</v>
      </c>
      <c r="B49" s="72" t="str">
        <f t="shared" si="2"/>
        <v>Głowonogi</v>
      </c>
      <c r="C49" s="72" t="str">
        <f t="shared" si="3"/>
        <v>Głowonogi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5.75" thickBot="1" x14ac:dyDescent="0.3">
      <c r="A50" s="81" t="s">
        <v>142</v>
      </c>
      <c r="B50" s="72" t="str">
        <f t="shared" si="2"/>
        <v>nieokreślony ssak</v>
      </c>
      <c r="C50" s="72" t="str">
        <f t="shared" si="3"/>
        <v>nieokreślony ssak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5.75" thickBot="1" x14ac:dyDescent="0.3"/>
    <row r="52" spans="1:29" x14ac:dyDescent="0.25">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25">
      <c r="A53" s="9" t="s">
        <v>64</v>
      </c>
      <c r="B53" s="9" t="str">
        <f t="shared" ref="B53:B62" si="5">IF(TRIM(HLOOKUP(language_or_default,textTranslations,MATCH(A53,text,0),FALSE))="",HLOOKUP("en",textTranslations,MATCH(A53,text,0),FALSE),HLOOKUP(language_or_default,textTranslations,MATCH(A53,text,0),FALSE))</f>
        <v>Państwo</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25">
      <c r="A54" s="9" t="s">
        <v>66</v>
      </c>
      <c r="B54" s="9" t="str">
        <f t="shared" si="5"/>
        <v>Język</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25">
      <c r="A55" s="9" t="s">
        <v>231</v>
      </c>
      <c r="B55" s="9" t="str">
        <f t="shared" si="5"/>
        <v>Tytuł</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25">
      <c r="A56" s="9" t="s">
        <v>337</v>
      </c>
      <c r="B56" s="9" t="str">
        <f t="shared" si="5"/>
        <v>Identyfikator OR</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25">
      <c r="A57" s="9" t="s">
        <v>229</v>
      </c>
      <c r="B57" s="9" t="str">
        <f t="shared" si="5"/>
        <v>Wynik oceny retrospektywnej</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25">
      <c r="A58" s="9" t="s">
        <v>232</v>
      </c>
      <c r="B58" s="9" t="str">
        <f t="shared" si="5"/>
        <v>Realizacja celów</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25">
      <c r="A59" s="9" t="s">
        <v>237</v>
      </c>
      <c r="B59" s="9" t="str">
        <f t="shared" si="5"/>
        <v>Jak kształtują się liczba wykorzystanych zwierząt i rzeczywisty stopień dotkliwości w porównaniu z szacowanymi?</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25">
      <c r="A60" s="9" t="s">
        <v>258</v>
      </c>
      <c r="B60" s="9" t="str">
        <f t="shared" si="5"/>
        <v>Uwagi dodatkowe</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25">
      <c r="A61" s="9" t="s">
        <v>241</v>
      </c>
      <c r="B61" s="9" t="str">
        <f t="shared" si="5"/>
        <v>Jak wygląda los zwierząt utrzymywanych przy życiu po zakończeniu badania w porównaniu z szacunkami?</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25">
      <c r="A62" s="9" t="s">
        <v>236</v>
      </c>
      <c r="B62" s="9" t="str">
        <f t="shared" si="5"/>
        <v>Rzeczywiste szkody</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25">
      <c r="A63" s="9" t="s">
        <v>70</v>
      </c>
      <c r="B63" s="9" t="str">
        <f t="shared" ref="B63:B96" si="6">IF(TRIM(HLOOKUP(language_or_default,textTranslations,MATCH(A63,text,0),FALSE))="",HLOOKUP("en",textTranslations,MATCH(A63,text,0),FALSE),HLOOKUP(language_or_default,textTranslations,MATCH(A63,text,0),FALSE))</f>
        <v>Wszelkie elementy, które mogą przyczynić się do dalszego wdrażania zasady 3R:</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25">
      <c r="A64" s="9" t="s">
        <v>246</v>
      </c>
      <c r="B64" s="9" t="str">
        <f t="shared" si="6"/>
        <v>1. Zastąpienie</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25">
      <c r="A65" s="9" t="s">
        <v>249</v>
      </c>
      <c r="B65" s="9" t="str">
        <f t="shared" si="6"/>
        <v>2. Ograniczenie</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25">
      <c r="A66" s="9" t="s">
        <v>252</v>
      </c>
      <c r="B66" s="9" t="str">
        <f t="shared" si="6"/>
        <v>3. Udoskonalenie</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25">
      <c r="A67" s="9" t="s">
        <v>260</v>
      </c>
      <c r="B67" s="9" t="str">
        <f t="shared" si="6"/>
        <v>4. Inne</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25">
      <c r="A68" s="9" t="s">
        <v>74</v>
      </c>
      <c r="B68" s="9" t="str">
        <f t="shared" si="6"/>
        <v>Powody oceny retrospektywnej</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25">
      <c r="A69" s="9" t="s">
        <v>75</v>
      </c>
      <c r="B69" s="9" t="str">
        <f t="shared" si="6"/>
        <v>Obejmuje dotkliwe procedury</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25">
      <c r="A70" s="9" t="s">
        <v>76</v>
      </c>
      <c r="B70" s="9" t="str">
        <f t="shared" si="6"/>
        <v>Wykorzystuje zwierzęta z rzędu naczelnych</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25">
      <c r="A71" s="9" t="s">
        <v>77</v>
      </c>
      <c r="B71" s="9" t="str">
        <f t="shared" si="6"/>
        <v>Inny powód</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25">
      <c r="A72" s="9" t="s">
        <v>78</v>
      </c>
      <c r="B72" s="9" t="str">
        <f t="shared" si="6"/>
        <v>Proszę wyjaśnić „Inną powód”</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25">
      <c r="A73" s="9" t="s">
        <v>82</v>
      </c>
      <c r="B73" s="9" t="str">
        <f t="shared" si="6"/>
        <v>Należy wybrać co najmniej jeden powód!</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25">
      <c r="A74" s="9" t="s">
        <v>83</v>
      </c>
      <c r="B74" s="9" t="str">
        <f t="shared" si="6"/>
        <v>Wartość niespójna!</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25">
      <c r="A75" s="9" t="s">
        <v>296</v>
      </c>
      <c r="B75" s="9" t="str">
        <f t="shared" si="6"/>
        <v>Identyfikator krajowy OR</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25">
      <c r="A76" s="9" t="s">
        <v>261</v>
      </c>
      <c r="B76" s="9" t="str">
        <f t="shared" ref="B76" si="7">IF(TRIM(HLOOKUP(language_or_default,textTranslations,MATCH(A76,text,0),FALSE))="",HLOOKUP("en",textTranslations,MATCH(A76,text,0),FALSE),HLOOKUP(language_or_default,textTranslations,MATCH(A76,text,0),FALSE))</f>
        <v>Identyfikator NSD</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25">
      <c r="A77" s="9" t="s">
        <v>294</v>
      </c>
      <c r="B77" s="9" t="str">
        <f t="shared" ref="B77" si="8">IF(TRIM(HLOOKUP(language_or_default,textTranslations,MATCH(A77,text,0),FALSE))="",HLOOKUP("en",textTranslations,MATCH(A77,text,0),FALSE),HLOOKUP(language_or_default,textTranslations,MATCH(A77,text,0),FALSE))</f>
        <v>Identyfikator krajowy NSD</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25">
      <c r="A78" s="9" t="s">
        <v>216</v>
      </c>
      <c r="B78" s="9" t="str">
        <f t="shared" ref="B78:B94" si="9">IF(TRIM(HLOOKUP(language_or_default,textTranslations,MATCH(A78,text,0),FALSE))="",HLOOKUP("en",textTranslations,MATCH(A78,text,0),FALSE),HLOOKUP(language_or_default,textTranslations,MATCH(A78,text,0),FALSE))</f>
        <v>Całkowita liczba musi być wyższa niż 0!</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25">
      <c r="A79" s="9" t="s">
        <v>217</v>
      </c>
      <c r="B79" s="9" t="str">
        <f t="shared" si="9"/>
        <v>Należy wybrać gatunek!</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25">
      <c r="A80" s="9" t="s">
        <v>221</v>
      </c>
      <c r="B80" s="9" t="str">
        <f t="shared" si="9"/>
        <v>Co najmniej 1 wiersz!</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25">
      <c r="A81" s="9" t="s">
        <v>222</v>
      </c>
      <c r="B81" s="9" t="str">
        <f t="shared" si="9"/>
        <v>Gatunek</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25">
      <c r="A82" s="9" t="s">
        <v>223</v>
      </c>
      <c r="B82" s="9" t="str">
        <f t="shared" si="9"/>
        <v>Terminalne</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25">
      <c r="A83" s="9" t="s">
        <v>224</v>
      </c>
      <c r="B83" s="9" t="str">
        <f t="shared" si="9"/>
        <v>Łagodne</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25">
      <c r="A84" s="9" t="s">
        <v>225</v>
      </c>
      <c r="B84" s="9" t="str">
        <f t="shared" si="9"/>
        <v>Umiarkowane</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25">
      <c r="A85" s="9" t="s">
        <v>226</v>
      </c>
      <c r="B85" s="9" t="str">
        <f t="shared" si="9"/>
        <v>Dotkliwe</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25">
      <c r="A86" s="9" t="s">
        <v>227</v>
      </c>
      <c r="B86" s="9" t="str">
        <f t="shared" si="9"/>
        <v>Łączna liczba</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25">
      <c r="A87" s="9" t="s">
        <v>235</v>
      </c>
      <c r="B87" s="9" t="str">
        <f t="shared" si="9"/>
        <v>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25">
      <c r="A88" s="9" t="s">
        <v>240</v>
      </c>
      <c r="B88" s="9" t="str">
        <f t="shared" si="9"/>
        <v>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25">
      <c r="A89" s="9" t="s">
        <v>243</v>
      </c>
      <c r="B89" s="9" t="str">
        <f t="shared" si="9"/>
        <v>Jak wygląda los zwierząt utrzymywanych przy życiu po zakończeniu badania w porównaniu z szacunkami? Proszę przedstawić wyjaśnienie.</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25">
      <c r="A90" s="9" t="s">
        <v>247</v>
      </c>
      <c r="B90" s="9" t="str">
        <f t="shared" si="9"/>
        <v>Czy dzięki wiedzy uzyskanej w ramach tego projektu zidentyfikowano/rozwinięto nowe podejścia, które mogłyby zastąpić niektóre lub wszystkie przypadki wykorzystania zwierząt w podobnych projektach (w tym opracowanie/zatwierdzenie nowych technik in vitro lub in silico)?</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25">
      <c r="A91" s="9" t="s">
        <v>250</v>
      </c>
      <c r="B91" s="9" t="str">
        <f t="shared" si="9"/>
        <v>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25">
      <c r="A92" s="9" t="s">
        <v>253</v>
      </c>
      <c r="B92" s="9" t="str">
        <f t="shared" si="9"/>
        <v>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25">
      <c r="A93" s="9" t="s">
        <v>256</v>
      </c>
      <c r="B93" s="9" t="str">
        <f t="shared" si="9"/>
        <v>W jaki sposób są rozpowszechniane wnioski dotyczące dalszej realizacji zasady 3R?</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25">
      <c r="A94" s="9" t="s">
        <v>228</v>
      </c>
      <c r="B94" s="9" t="str">
        <f t="shared" si="9"/>
        <v>Liczba zwierząt według rzeczywistego stopnia dotkliwości</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25">
      <c r="A95" s="9" t="s">
        <v>265</v>
      </c>
      <c r="B95" s="9" t="str">
        <f t="shared" si="6"/>
        <v>Identyfikator NSD, do którego odnosi się niniejsza OR.</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25">
      <c r="A96" s="25" t="s">
        <v>266</v>
      </c>
      <c r="B96" s="9" t="str">
        <f t="shared" si="6"/>
        <v>zgodnie z nietechnicznym streszczeniem projektu</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25">
      <c r="A97" s="25" t="s">
        <v>298</v>
      </c>
      <c r="B97" s="9" t="str">
        <f t="shared" ref="B97:B101" si="10">IF(TRIM(HLOOKUP(language_or_default,textTranslations,MATCH(A97,text,0),FALSE))="",HLOOKUP("en",textTranslations,MATCH(A97,text,0),FALSE),HLOOKUP(language_or_default,textTranslations,MATCH(A97,text,0),FALSE))</f>
        <v>Pole krajowe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25">
      <c r="A98" s="25" t="s">
        <v>299</v>
      </c>
      <c r="B98" s="9" t="str">
        <f t="shared" si="10"/>
        <v>Pole krajowe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25">
      <c r="A99" s="25" t="s">
        <v>300</v>
      </c>
      <c r="B99" s="9" t="str">
        <f t="shared" si="10"/>
        <v>Pole krajowe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25">
      <c r="A100" s="25" t="s">
        <v>320</v>
      </c>
      <c r="B100" s="9" t="str">
        <f t="shared" si="10"/>
        <v>Pole krajowe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25">
      <c r="A101" s="25" t="s">
        <v>321</v>
      </c>
      <c r="B101" s="9" t="str">
        <f t="shared" si="10"/>
        <v>Pole krajowe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25">
      <c r="A102" s="25" t="s">
        <v>301</v>
      </c>
      <c r="B102" s="9" t="str">
        <f t="shared" ref="B102:B103" si="11">IF(TRIM(HLOOKUP(language_or_default,textTranslations,MATCH(A102,text,0),FALSE))="",HLOOKUP("en",textTranslations,MATCH(A102,text,0),FALSE),HLOOKUP(language_or_default,textTranslations,MATCH(A102,text,0),FALSE))</f>
        <v>Dodatkowe pola</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25">
      <c r="A103" s="25" t="s">
        <v>303</v>
      </c>
      <c r="B103" s="9" t="str">
        <f t="shared" si="11"/>
        <v>To, czy dane pole ma zastosowanie, zależy od przepisów krajowych.</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25">
      <c r="A104" s="25" t="s">
        <v>305</v>
      </c>
      <c r="B104" s="9" t="str">
        <f t="shared" ref="B104" si="12">IF(TRIM(HLOOKUP(language_or_default,textTranslations,MATCH(A104,text,0),FALSE))="",HLOOKUP("en",textTranslations,MATCH(A104,text,0),FALSE),HLOOKUP(language_or_default,textTranslations,MATCH(A104,text,0),FALSE))</f>
        <v>Obowiązkowe!</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25">
      <c r="A105" s="25" t="s">
        <v>306</v>
      </c>
      <c r="B105" s="9" t="str">
        <f>IF(TRIM(HLOOKUP(language_or_default,textTranslations,MATCH(A105,text,0),FALSE))="",HLOOKUP("en",textTranslations,MATCH(A105,text,0),FALSE),HLOOKUP(language_or_default,textTranslations,MATCH(A105,text,0),FALSE))</f>
        <v>Maksymalna długość wynosi 100 znaków.</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25">
      <c r="A106" s="25" t="s">
        <v>308</v>
      </c>
      <c r="B106" s="9" t="str">
        <f t="shared" ref="B106:B110" si="13">IF(TRIM(HLOOKUP(language_or_default,textTranslations,MATCH(A106,text,0),FALSE))="",HLOOKUP("en",textTranslations,MATCH(A106,text,0),FALSE),HLOOKUP(language_or_default,textTranslations,MATCH(A106,text,0),FALSE))</f>
        <v>Maksymalna długość wynosi 2500 znaków.</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25">
      <c r="A107" s="25" t="s">
        <v>310</v>
      </c>
      <c r="B107" s="9" t="str">
        <f t="shared" si="13"/>
        <v>Maksymalna długość wynosi 500 znaków.</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25">
      <c r="A108" s="25" t="s">
        <v>312</v>
      </c>
      <c r="B108" s="9" t="str">
        <f t="shared" si="13"/>
        <v>Jeśli powiązane NSD nie jest przechowywane w systemie KE, proszę wpisać 0000 w tym polu i wypełnić pole „Identyfikator krajowy NSD”.</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25">
      <c r="A109" s="9" t="s">
        <v>313</v>
      </c>
      <c r="B109" s="9" t="str">
        <f t="shared" si="13"/>
        <v>Identyfikator krajowy NSD, do którego odnosi się niniejsza OR.</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25">
      <c r="A110" s="9" t="s">
        <v>314</v>
      </c>
      <c r="B110" s="9" t="str">
        <f t="shared" si="13"/>
        <v>Identyfikator krajowy OR.</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25">
      <c r="A111" s="25" t="s">
        <v>315</v>
      </c>
      <c r="B111" s="9" t="str">
        <f t="shared" ref="B111" si="14">IF(TRIM(HLOOKUP(language_or_default,textTranslations,MATCH(A111,text,0),FALSE))="",HLOOKUP("en",textTranslations,MATCH(A111,text,0),FALSE),HLOOKUP(language_or_default,textTranslations,MATCH(A111,text,0),FALSE))</f>
        <v>Należy wypełnić, jeśli wybrano inny powód!</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25">
      <c r="A112" s="25" t="s">
        <v>319</v>
      </c>
      <c r="B112" s="9" t="str">
        <f t="shared" ref="B112" si="15">IF(TRIM(HLOOKUP(language_or_default,textTranslations,MATCH(A112,text,0),FALSE))="",HLOOKUP("en",textTranslations,MATCH(A112,text,0),FALSE),HLOOKUP(language_or_default,textTranslations,MATCH(A112,text,0),FALSE))</f>
        <v>Proszę wypełnić arkusz „Rzeczywiste szkody”. Należy wypełnić co najmniej jeden wiersz!</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25">
      <c r="A113" s="25" t="s">
        <v>322</v>
      </c>
      <c r="B113" s="9" t="str">
        <f t="shared" ref="B113:B125" si="16">IF(TRIM(HLOOKUP(language_or_default,textTranslations,MATCH(A113,text,0),FALSE))="",HLOOKUP("en",textTranslations,MATCH(A113,text,0),FALSE),HLOOKUP(language_or_default,textTranslations,MATCH(A113,text,0),FALSE))</f>
        <v>Proszę wypełnić wszystkie kategorie liczbami całkowitymi (0 lub więcej)!</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25">
      <c r="A114" s="25" t="s">
        <v>339</v>
      </c>
      <c r="B114" s="9" t="str">
        <f t="shared" si="16"/>
        <v>Niepowtarzalny identyfikator OR przypisany przez centralny system KE.</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25">
      <c r="A115" s="25" t="s">
        <v>340</v>
      </c>
      <c r="B115" s="9" t="str">
        <f t="shared" si="16"/>
        <v>Wypełnić tylko w przypadku aktualizacji OR już przechowywanej w systemie KE.</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25">
      <c r="A116" s="25" t="s">
        <v>345</v>
      </c>
      <c r="B116" s="9" t="str">
        <f t="shared" si="16"/>
        <v>Składany na poziomie UE</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25">
      <c r="A117" s="25" t="s">
        <v>343</v>
      </c>
      <c r="B117" s="9" t="str">
        <f t="shared" si="16"/>
        <v>Proszę wskazać, czy projekt wchodzi w zakres dyrektywy, czy nie.</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25">
      <c r="A118" s="25" t="s">
        <v>350</v>
      </c>
      <c r="B118" s="9" t="str">
        <f t="shared" si="16"/>
        <v>Link do poprzedniej wersji OR poza systemem KE</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25">
      <c r="A119" s="25" t="s">
        <v>351</v>
      </c>
      <c r="B119" s="9" t="str">
        <f t="shared" si="16"/>
        <v>Link do NSD, do którego odnosi się niniejsza OR, które nie jest w systemie KE.</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25">
      <c r="A120" s="25" t="s">
        <v>354</v>
      </c>
      <c r="B120" s="9" t="str">
        <f t="shared" si="16"/>
        <v>Do wykorzystania w okresie przejściowym, kiedy poprzednia wersja OR mogłaby nie istnieć w systemie KE.</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25">
      <c r="A121" s="25" t="s">
        <v>355</v>
      </c>
      <c r="B121" s="9" t="str">
        <f t="shared" si="16"/>
        <v>Do wykorzystania w okresie przejściowym, kiedy NSD, do którego odnosi się OR, mogłoby nie istnieć w systemie KE.</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25">
      <c r="A122" s="25" t="s">
        <v>358</v>
      </c>
      <c r="B122" s="9" t="str">
        <f t="shared" si="16"/>
        <v>Stopnie dotkliwości właściwe dla danego państwa członkowskiego</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25">
      <c r="A123" s="25" t="s">
        <v>364</v>
      </c>
      <c r="B123" s="9" t="str">
        <f t="shared" si="16"/>
        <v>Pole nie zostanie opublikowane.</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25">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5.75" thickBot="1" x14ac:dyDescent="0.3">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workbookViewId="0">
      <selection activeCell="A3" sqref="A3"/>
    </sheetView>
  </sheetViews>
  <sheetFormatPr defaultRowHeight="15" x14ac:dyDescent="0.25"/>
  <cols>
    <col min="1" max="1" width="22.7109375" style="29" customWidth="1"/>
    <col min="2" max="2" width="23.85546875" style="29" customWidth="1"/>
    <col min="3" max="3" width="21.28515625" style="29" customWidth="1"/>
  </cols>
  <sheetData>
    <row r="1" spans="1:31" ht="15.75" thickBot="1" x14ac:dyDescent="0.3"/>
    <row r="2" spans="1:31" ht="15.75" thickBot="1" x14ac:dyDescent="0.3">
      <c r="A2" s="30" t="s">
        <v>12</v>
      </c>
      <c r="B2" s="16" t="str">
        <f>IF(language="","en",language)</f>
        <v>pl</v>
      </c>
    </row>
    <row r="3" spans="1:31" ht="15.75" thickBot="1" x14ac:dyDescent="0.3">
      <c r="A3" s="30" t="s">
        <v>15</v>
      </c>
      <c r="B3" s="13" t="str">
        <f>yes</f>
        <v>tak [1]</v>
      </c>
      <c r="C3" s="15" t="str">
        <f>no</f>
        <v>nie [0]</v>
      </c>
    </row>
    <row r="4" spans="1:31" ht="15.75" thickBot="1" x14ac:dyDescent="0.3">
      <c r="A4" s="30" t="s">
        <v>14</v>
      </c>
      <c r="B4" s="13" t="str">
        <f>yes</f>
        <v>tak [1]</v>
      </c>
      <c r="C4" s="14" t="s">
        <v>6</v>
      </c>
    </row>
    <row r="5" spans="1:31" ht="15.75" thickBot="1" x14ac:dyDescent="0.3">
      <c r="A5" s="30" t="s">
        <v>278</v>
      </c>
      <c r="B5" s="16">
        <v>1</v>
      </c>
      <c r="C5" s="17"/>
    </row>
    <row r="6" spans="1:31" x14ac:dyDescent="0.25">
      <c r="A6" s="27"/>
      <c r="B6" s="11"/>
      <c r="C6" s="17"/>
    </row>
    <row r="7" spans="1:31" x14ac:dyDescent="0.25">
      <c r="A7" s="27"/>
      <c r="B7" s="11"/>
      <c r="C7" s="17"/>
    </row>
    <row r="8" spans="1:31" x14ac:dyDescent="0.25">
      <c r="A8" s="30" t="s">
        <v>91</v>
      </c>
      <c r="B8" s="11"/>
      <c r="C8" s="17"/>
    </row>
    <row r="9" spans="1:31" x14ac:dyDescent="0.25">
      <c r="A9" s="1" t="s">
        <v>35</v>
      </c>
      <c r="B9" s="17"/>
      <c r="C9"/>
    </row>
    <row r="10" spans="1:31" x14ac:dyDescent="0.25">
      <c r="A10" s="1" t="s">
        <v>36</v>
      </c>
      <c r="B10" s="17"/>
      <c r="C10"/>
    </row>
    <row r="11" spans="1:31" x14ac:dyDescent="0.25">
      <c r="A11" s="1" t="s">
        <v>37</v>
      </c>
      <c r="B11" s="17"/>
      <c r="C11"/>
    </row>
    <row r="12" spans="1:31" x14ac:dyDescent="0.25">
      <c r="A12" s="1" t="s">
        <v>38</v>
      </c>
      <c r="B12" s="17"/>
      <c r="C12"/>
    </row>
    <row r="13" spans="1:31" x14ac:dyDescent="0.25">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25">
      <c r="A14" s="1" t="s">
        <v>40</v>
      </c>
      <c r="C14"/>
    </row>
    <row r="15" spans="1:31" x14ac:dyDescent="0.25">
      <c r="A15" s="1" t="s">
        <v>41</v>
      </c>
      <c r="C15"/>
    </row>
    <row r="16" spans="1:31" x14ac:dyDescent="0.25">
      <c r="A16" s="1" t="s">
        <v>42</v>
      </c>
      <c r="C16"/>
    </row>
    <row r="17" spans="1:3" x14ac:dyDescent="0.25">
      <c r="A17" s="1" t="s">
        <v>43</v>
      </c>
      <c r="C17"/>
    </row>
    <row r="18" spans="1:3" x14ac:dyDescent="0.25">
      <c r="A18" s="1" t="s">
        <v>44</v>
      </c>
      <c r="C18"/>
    </row>
    <row r="19" spans="1:3" x14ac:dyDescent="0.25">
      <c r="A19" s="1" t="s">
        <v>45</v>
      </c>
      <c r="C19"/>
    </row>
    <row r="20" spans="1:3" x14ac:dyDescent="0.25">
      <c r="A20" s="1" t="s">
        <v>46</v>
      </c>
      <c r="C20"/>
    </row>
    <row r="21" spans="1:3" x14ac:dyDescent="0.25">
      <c r="A21" s="1" t="s">
        <v>47</v>
      </c>
      <c r="C21"/>
    </row>
    <row r="22" spans="1:3" x14ac:dyDescent="0.25">
      <c r="A22" s="1" t="s">
        <v>48</v>
      </c>
      <c r="C22"/>
    </row>
    <row r="23" spans="1:3" x14ac:dyDescent="0.25">
      <c r="A23" s="1" t="s">
        <v>49</v>
      </c>
      <c r="C23"/>
    </row>
    <row r="24" spans="1:3" x14ac:dyDescent="0.25">
      <c r="A24" s="1" t="s">
        <v>50</v>
      </c>
      <c r="C24"/>
    </row>
    <row r="25" spans="1:3" x14ac:dyDescent="0.25">
      <c r="A25" s="1" t="s">
        <v>51</v>
      </c>
      <c r="C25"/>
    </row>
    <row r="26" spans="1:3" x14ac:dyDescent="0.25">
      <c r="A26" s="1" t="s">
        <v>52</v>
      </c>
      <c r="C26"/>
    </row>
    <row r="27" spans="1:3" x14ac:dyDescent="0.25">
      <c r="A27" s="1" t="s">
        <v>53</v>
      </c>
      <c r="C27"/>
    </row>
    <row r="28" spans="1:3" x14ac:dyDescent="0.25">
      <c r="A28" s="1" t="s">
        <v>54</v>
      </c>
      <c r="C28"/>
    </row>
    <row r="29" spans="1:3" x14ac:dyDescent="0.25">
      <c r="A29" s="1" t="s">
        <v>55</v>
      </c>
      <c r="C29"/>
    </row>
    <row r="30" spans="1:3" x14ac:dyDescent="0.25">
      <c r="A30" s="1" t="s">
        <v>56</v>
      </c>
      <c r="C30"/>
    </row>
    <row r="31" spans="1:3" x14ac:dyDescent="0.25">
      <c r="A31" s="1" t="s">
        <v>57</v>
      </c>
      <c r="C31"/>
    </row>
    <row r="32" spans="1:3" x14ac:dyDescent="0.25">
      <c r="A32" s="1" t="s">
        <v>58</v>
      </c>
      <c r="C32"/>
    </row>
    <row r="33" spans="1:3" x14ac:dyDescent="0.25">
      <c r="A33" s="1" t="s">
        <v>59</v>
      </c>
      <c r="C33"/>
    </row>
    <row r="34" spans="1:3" x14ac:dyDescent="0.25">
      <c r="A34" s="1" t="s">
        <v>60</v>
      </c>
      <c r="C34"/>
    </row>
    <row r="35" spans="1:3" x14ac:dyDescent="0.25">
      <c r="A35" s="1" t="s">
        <v>61</v>
      </c>
      <c r="C35"/>
    </row>
    <row r="36" spans="1:3" x14ac:dyDescent="0.25">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88</vt:i4>
      </vt:variant>
    </vt:vector>
  </HeadingPairs>
  <TitlesOfParts>
    <vt:vector size="92" baseType="lpstr">
      <vt:lpstr>RA</vt:lpstr>
      <vt:lpstr>Actual harms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Passini Anna</cp:lastModifiedBy>
  <dcterms:created xsi:type="dcterms:W3CDTF">2020-03-26T19:58:53Z</dcterms:created>
  <dcterms:modified xsi:type="dcterms:W3CDTF">2024-12-05T13:41:29Z</dcterms:modified>
</cp:coreProperties>
</file>