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<sst xmlns="http://schemas.openxmlformats.org/spreadsheetml/2006/main" count="98" uniqueCount="79">
  <si>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</si>
  <si>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</si>
  <si>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</si>
  <si>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</si>
  <si>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</si>
  <si>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</si>
  <si>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</si>
  <si>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</si>
  <si>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</si>
  <si>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</si>
  <si>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</si>
  <si>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</si>
  <si>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</si>
  <si>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</si>
  <si>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</si>
  <si>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</si>
  <si>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</si>
  <si>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</si>
  <si>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</si>
  <si>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</si>
  <si>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</si>
  <si>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</si>
  <si>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</si>
  <si>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</si>
  <si>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</si>
  <si>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</si>
  <si>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</si>
  <si>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</si>
  <si>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</si>
  <si>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</si>
  <si>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</si>
  <si>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</si>
  <si>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</si>
  <si>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</si>
  <si>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</si>
  <si>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</si>
  <si>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</si>
  <si>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</si>
  <si>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</si>
  <si>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</si>
  <si>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</si>
  <si>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</si>
  <si>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</si>
  <si>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</si>
  <si>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</si>
  <si>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</si>
  <si>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</si>
  <si>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</si>
  <si>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</si>
  <si>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</si>
  <si>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</si>
  <si>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</si>
  <si>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</si>
  <si>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</si>
  <si>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</si>
  <si>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</si>
  <si>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</si>
  <si>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</si>
  <si>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</si>
  <si>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</si>
  <si>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</si>
  <si>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</si>
  <si>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</si>
  <si>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</si>
  <si>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</si>
  <si>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</si>
  <si>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</si>
  <si>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</si>
  <si>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</si>
  <si>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</si>
  <si>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</si>
  <si>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</si>
  <si>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</si>
  <si>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</si>
  <si>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</si>
  <si>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</si>
  <si>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</si>
  <si>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</si>
  <si>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 xml:space="preserve">Informacja z wykonania budżetów gmin za IV Kwartały 2020 roku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</si>
</sst>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5" fillId="42" borderId="3" applyNumberFormat="0" applyAlignment="0" applyProtection="0"/>
    <xf numFmtId="0" fontId="36" fillId="43" borderId="4" applyNumberFormat="0" applyAlignment="0" applyProtection="0"/>
    <xf numFmtId="0" fontId="37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8" fillId="0" borderId="8" applyNumberFormat="0" applyFill="0" applyAlignment="0" applyProtection="0"/>
    <xf numFmtId="0" fontId="39" fillId="46" borderId="9" applyNumberFormat="0" applyAlignment="0" applyProtection="0"/>
    <xf numFmtId="0" fontId="20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3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4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9" fillId="4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7" fillId="2" borderId="20" xfId="88" applyFont="1" applyFill="1" applyBorder="1" applyAlignment="1">
      <alignment horizontal="center" vertical="center" wrapText="1"/>
      <protection/>
    </xf>
    <xf numFmtId="0" fontId="27" fillId="0" borderId="21" xfId="0" applyFont="1" applyFill="1" applyBorder="1" applyAlignment="1">
      <alignment horizontal="left" vertical="center" wrapText="1" indent="1"/>
    </xf>
    <xf numFmtId="0" fontId="27" fillId="0" borderId="22" xfId="0" applyFont="1" applyFill="1" applyBorder="1" applyAlignment="1">
      <alignment horizontal="left" vertical="center" wrapText="1" indent="1"/>
    </xf>
    <xf numFmtId="0" fontId="27" fillId="0" borderId="21" xfId="0" applyFont="1" applyFill="1" applyBorder="1" applyAlignment="1">
      <alignment horizontal="left" vertical="center" indent="1"/>
    </xf>
    <xf numFmtId="0" fontId="31" fillId="0" borderId="21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 indent="1"/>
    </xf>
    <xf numFmtId="4" fontId="7" fillId="0" borderId="19" xfId="88" applyNumberFormat="1" applyFont="1" applyFill="1" applyBorder="1" applyAlignment="1">
      <alignment vertical="center" wrapText="1"/>
      <protection/>
    </xf>
    <xf numFmtId="0" fontId="29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9" fillId="50" borderId="21" xfId="0" applyFont="1" applyFill="1" applyBorder="1" applyAlignment="1">
      <alignment wrapText="1"/>
    </xf>
    <xf numFmtId="0" fontId="29" fillId="50" borderId="22" xfId="0" applyFont="1" applyFill="1" applyBorder="1" applyAlignment="1">
      <alignment wrapText="1"/>
    </xf>
    <xf numFmtId="0" fontId="29" fillId="50" borderId="22" xfId="0" applyFont="1" applyFill="1" applyBorder="1" applyAlignment="1">
      <alignment vertical="center"/>
    </xf>
    <xf numFmtId="0" fontId="29" fillId="50" borderId="21" xfId="0" applyFont="1" applyFill="1" applyBorder="1" applyAlignment="1">
      <alignment horizontal="left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30" fillId="50" borderId="21" xfId="0" applyFont="1" applyFill="1" applyBorder="1" applyAlignment="1">
      <alignment vertical="center" wrapText="1"/>
    </xf>
    <xf numFmtId="4" fontId="7" fillId="50" borderId="19" xfId="88" applyNumberFormat="1" applyFont="1" applyFill="1" applyBorder="1" applyAlignment="1">
      <alignment vertical="center" wrapText="1"/>
      <protection/>
    </xf>
    <xf numFmtId="4" fontId="3" fillId="2" borderId="23" xfId="88" applyNumberFormat="1" applyFont="1" applyFill="1" applyBorder="1" applyAlignment="1">
      <alignment horizontal="center" vertical="center" wrapText="1"/>
      <protection/>
    </xf>
    <xf numFmtId="4" fontId="3" fillId="2" borderId="24" xfId="88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2" borderId="26" xfId="88" applyFont="1" applyFill="1" applyBorder="1" applyAlignment="1">
      <alignment horizontal="center" vertical="center" wrapText="1"/>
      <protection/>
    </xf>
    <xf numFmtId="0" fontId="28" fillId="2" borderId="27" xfId="88" applyFont="1" applyFill="1" applyBorder="1" applyAlignment="1">
      <alignment horizontal="center" vertical="center" wrapText="1"/>
      <protection/>
    </xf>
    <xf numFmtId="0" fontId="28" fillId="2" borderId="20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0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2" fillId="0" borderId="0" xfId="88" applyFont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0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0" borderId="25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4" fontId="7" fillId="0" borderId="25" xfId="88" applyNumberFormat="1" applyFont="1" applyBorder="1" applyAlignment="1">
      <alignment horizontal="righ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0" borderId="24" xfId="88" applyFont="1" applyBorder="1" applyAlignment="1">
      <alignment horizontal="left" vertical="center" wrapText="1"/>
      <protection/>
    </xf>
    <xf numFmtId="0" fontId="3" fillId="0" borderId="25" xfId="88" applyFont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4" xfId="88" applyFont="1" applyFill="1" applyBorder="1" applyAlignment="1">
      <alignment horizontal="left" vertical="center" wrapText="1"/>
      <protection/>
    </xf>
    <xf numFmtId="0" fontId="3" fillId="0" borderId="25" xfId="88" applyFont="1" applyFill="1" applyBorder="1" applyAlignment="1">
      <alignment horizontal="lef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3" fontId="7" fillId="0" borderId="25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5" xfId="88" applyNumberFormat="1" applyFont="1" applyFill="1" applyBorder="1" applyAlignment="1">
      <alignment horizontal="right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8" fillId="2" borderId="3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27" xfId="88" applyFont="1" applyFill="1" applyBorder="1" applyAlignment="1">
      <alignment horizontal="center" vertical="center" wrapText="1"/>
      <protection/>
    </xf>
    <xf numFmtId="0" fontId="7" fillId="2" borderId="20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10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4.75390625" style="2" customWidth="1"/>
    <col min="4" max="4" width="13.25390625" style="2" customWidth="1"/>
    <col min="5" max="5" width="12.25390625" style="2" customWidth="1"/>
    <col min="6" max="6" width="11.875" style="2" customWidth="1"/>
    <col min="7" max="7" width="11.00390625" style="2" customWidth="1"/>
    <col min="8" max="8" width="11.125" style="2" customWidth="1"/>
    <col min="9" max="9" width="12.25390625" style="2" customWidth="1"/>
    <col min="10" max="10" width="13.625" style="2" customWidth="1"/>
    <col min="11" max="11" width="12.125" style="2" customWidth="1"/>
    <col min="12" max="12" width="13.25390625" style="2" customWidth="1"/>
    <col min="13" max="13" width="11.125" style="2" bestFit="1" customWidth="1"/>
    <col min="14" max="14" width="11.25390625" style="2" bestFit="1" customWidth="1"/>
    <col min="15" max="15" width="9.25390625" style="2" bestFit="1" customWidth="1"/>
    <col min="16" max="16" width="7.625" style="2" bestFit="1" customWidth="1"/>
    <col min="17" max="17" width="9.875" style="2" bestFit="1" customWidth="1"/>
    <col min="18" max="16384" width="9.125" style="2" customWidth="1"/>
  </cols>
  <sheetData>
    <row r="1" spans="1:13" ht="75" customHeight="1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54" t="s">
        <v>62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5" spans="2:17" ht="13.5" customHeight="1">
      <c r="B5" s="9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8"/>
      <c r="O5" s="8"/>
      <c r="P5" s="8"/>
      <c r="Q5" s="8"/>
    </row>
    <row r="6" spans="1:17" ht="13.5" customHeight="1">
      <c r="A6" s="56" t="s">
        <v>0</v>
      </c>
      <c r="B6" s="55" t="s">
        <v>63</v>
      </c>
      <c r="C6" s="47" t="s">
        <v>67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94" t="s">
        <v>66</v>
      </c>
      <c r="P6" s="95"/>
      <c r="Q6" s="96"/>
    </row>
    <row r="7" spans="1:17" ht="13.5" customHeight="1">
      <c r="A7" s="57"/>
      <c r="B7" s="42"/>
      <c r="C7" s="43" t="s">
        <v>64</v>
      </c>
      <c r="D7" s="43" t="s">
        <v>75</v>
      </c>
      <c r="E7" s="43" t="s">
        <v>68</v>
      </c>
      <c r="F7" s="43" t="s">
        <v>69</v>
      </c>
      <c r="G7" s="43" t="s">
        <v>24</v>
      </c>
      <c r="H7" s="43" t="s">
        <v>25</v>
      </c>
      <c r="I7" s="59" t="s">
        <v>65</v>
      </c>
      <c r="J7" s="43" t="s">
        <v>13</v>
      </c>
      <c r="K7" s="43" t="s">
        <v>14</v>
      </c>
      <c r="L7" s="43" t="s">
        <v>15</v>
      </c>
      <c r="M7" s="43" t="s">
        <v>16</v>
      </c>
      <c r="N7" s="42" t="s">
        <v>17</v>
      </c>
      <c r="O7" s="46" t="s">
        <v>18</v>
      </c>
      <c r="P7" s="46" t="s">
        <v>19</v>
      </c>
      <c r="Q7" s="46" t="s">
        <v>20</v>
      </c>
    </row>
    <row r="8" spans="1:17" ht="13.5" customHeight="1">
      <c r="A8" s="57"/>
      <c r="B8" s="42"/>
      <c r="C8" s="44"/>
      <c r="D8" s="44"/>
      <c r="E8" s="44"/>
      <c r="F8" s="44"/>
      <c r="G8" s="44"/>
      <c r="H8" s="44"/>
      <c r="I8" s="59"/>
      <c r="J8" s="44"/>
      <c r="K8" s="44"/>
      <c r="L8" s="44"/>
      <c r="M8" s="44"/>
      <c r="N8" s="42"/>
      <c r="O8" s="46"/>
      <c r="P8" s="46"/>
      <c r="Q8" s="46"/>
    </row>
    <row r="9" spans="1:17" ht="11.25" customHeight="1">
      <c r="A9" s="57"/>
      <c r="B9" s="42"/>
      <c r="C9" s="44"/>
      <c r="D9" s="44"/>
      <c r="E9" s="44"/>
      <c r="F9" s="44"/>
      <c r="G9" s="44"/>
      <c r="H9" s="44"/>
      <c r="I9" s="59"/>
      <c r="J9" s="44"/>
      <c r="K9" s="44"/>
      <c r="L9" s="44"/>
      <c r="M9" s="44"/>
      <c r="N9" s="42"/>
      <c r="O9" s="46"/>
      <c r="P9" s="46"/>
      <c r="Q9" s="46"/>
    </row>
    <row r="10" spans="1:17" ht="16.5" customHeight="1">
      <c r="A10" s="58"/>
      <c r="B10" s="43"/>
      <c r="C10" s="44"/>
      <c r="D10" s="44"/>
      <c r="E10" s="44"/>
      <c r="F10" s="44"/>
      <c r="G10" s="44"/>
      <c r="H10" s="44"/>
      <c r="I10" s="60"/>
      <c r="J10" s="44"/>
      <c r="K10" s="44"/>
      <c r="L10" s="44"/>
      <c r="M10" s="44"/>
      <c r="N10" s="43"/>
      <c r="O10" s="46"/>
      <c r="P10" s="46"/>
      <c r="Q10" s="46"/>
    </row>
    <row r="11" spans="1:17" ht="16.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1"/>
      <c r="B12" s="35" t="s">
        <v>77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7"/>
      <c r="Q12" s="38"/>
    </row>
    <row r="13" spans="1:17" ht="48">
      <c r="A13" s="26" t="s">
        <v>44</v>
      </c>
      <c r="B13" s="27">
        <f>34235949766.57</f>
        <v>34235949766.57</v>
      </c>
      <c r="C13" s="27">
        <f>34235941324.15</f>
        <v>34235941324.15</v>
      </c>
      <c r="D13" s="27">
        <f>2725265282.46</f>
        <v>2725265282.46</v>
      </c>
      <c r="E13" s="27">
        <f>282076125.69</f>
        <v>282076125.69</v>
      </c>
      <c r="F13" s="27">
        <f>293222210.71</f>
        <v>293222210.71</v>
      </c>
      <c r="G13" s="27">
        <f>2148301279.06</f>
        <v>2148301279.06</v>
      </c>
      <c r="H13" s="27">
        <f>1665667</f>
        <v>1665667</v>
      </c>
      <c r="I13" s="27">
        <f>0</f>
        <v>0</v>
      </c>
      <c r="J13" s="27">
        <f>30388536217.24</f>
        <v>30388536217.24</v>
      </c>
      <c r="K13" s="27">
        <f>858828518.19</f>
        <v>858828518.19</v>
      </c>
      <c r="L13" s="27">
        <f>231027103.81</f>
        <v>231027103.81</v>
      </c>
      <c r="M13" s="27">
        <f>20044110.88</f>
        <v>20044110.88</v>
      </c>
      <c r="N13" s="27">
        <f>12240091.57</f>
        <v>12240091.57</v>
      </c>
      <c r="O13" s="27">
        <f>8442.42</f>
        <v>8442.42</v>
      </c>
      <c r="P13" s="27">
        <f>7599.66</f>
        <v>7599.66</v>
      </c>
      <c r="Q13" s="27">
        <f>842.76</f>
        <v>842.76</v>
      </c>
    </row>
    <row r="14" spans="1:17" ht="26.25" customHeight="1">
      <c r="A14" s="28" t="s">
        <v>45</v>
      </c>
      <c r="B14" s="27">
        <f>606186000</f>
        <v>606186000</v>
      </c>
      <c r="C14" s="27">
        <f>606186000</f>
        <v>606186000</v>
      </c>
      <c r="D14" s="27">
        <f>0</f>
        <v>0</v>
      </c>
      <c r="E14" s="27">
        <f>0</f>
        <v>0</v>
      </c>
      <c r="F14" s="27">
        <f>0</f>
        <v>0</v>
      </c>
      <c r="G14" s="27">
        <f>0</f>
        <v>0</v>
      </c>
      <c r="H14" s="27">
        <f>0</f>
        <v>0</v>
      </c>
      <c r="I14" s="27">
        <f>0</f>
        <v>0</v>
      </c>
      <c r="J14" s="27">
        <f>525964000</f>
        <v>525964000</v>
      </c>
      <c r="K14" s="27">
        <f>78982000</f>
        <v>78982000</v>
      </c>
      <c r="L14" s="27">
        <f>1240000</f>
        <v>1240000</v>
      </c>
      <c r="M14" s="27">
        <f>0</f>
        <v>0</v>
      </c>
      <c r="N14" s="27">
        <f>0</f>
        <v>0</v>
      </c>
      <c r="O14" s="27">
        <f>0</f>
        <v>0</v>
      </c>
      <c r="P14" s="27">
        <f>0</f>
        <v>0</v>
      </c>
      <c r="Q14" s="27">
        <f>0</f>
        <v>0</v>
      </c>
    </row>
    <row r="15" spans="1:17" ht="27" customHeight="1">
      <c r="A15" s="18" t="s">
        <v>46</v>
      </c>
      <c r="B15" s="32">
        <f>0</f>
        <v>0</v>
      </c>
      <c r="C15" s="32">
        <f>0</f>
        <v>0</v>
      </c>
      <c r="D15" s="32">
        <f>0</f>
        <v>0</v>
      </c>
      <c r="E15" s="32">
        <f>0</f>
        <v>0</v>
      </c>
      <c r="F15" s="32">
        <f>0</f>
        <v>0</v>
      </c>
      <c r="G15" s="32">
        <f>0</f>
        <v>0</v>
      </c>
      <c r="H15" s="32">
        <f>0</f>
        <v>0</v>
      </c>
      <c r="I15" s="32">
        <f>0</f>
        <v>0</v>
      </c>
      <c r="J15" s="32">
        <f>0</f>
        <v>0</v>
      </c>
      <c r="K15" s="32">
        <f>0</f>
        <v>0</v>
      </c>
      <c r="L15" s="32">
        <f>0</f>
        <v>0</v>
      </c>
      <c r="M15" s="32">
        <f>0</f>
        <v>0</v>
      </c>
      <c r="N15" s="32">
        <f>0</f>
        <v>0</v>
      </c>
      <c r="O15" s="32">
        <f>0</f>
        <v>0</v>
      </c>
      <c r="P15" s="32">
        <f>0</f>
        <v>0</v>
      </c>
      <c r="Q15" s="32">
        <f>0</f>
        <v>0</v>
      </c>
    </row>
    <row r="16" spans="1:17" ht="24" customHeight="1">
      <c r="A16" s="18" t="s">
        <v>47</v>
      </c>
      <c r="B16" s="32">
        <f>606186000</f>
        <v>606186000</v>
      </c>
      <c r="C16" s="32">
        <f>606186000</f>
        <v>606186000</v>
      </c>
      <c r="D16" s="32">
        <f>0</f>
        <v>0</v>
      </c>
      <c r="E16" s="32">
        <f>0</f>
        <v>0</v>
      </c>
      <c r="F16" s="32">
        <f>0</f>
        <v>0</v>
      </c>
      <c r="G16" s="32">
        <f>0</f>
        <v>0</v>
      </c>
      <c r="H16" s="32">
        <f>0</f>
        <v>0</v>
      </c>
      <c r="I16" s="32">
        <f>0</f>
        <v>0</v>
      </c>
      <c r="J16" s="32">
        <f>525964000</f>
        <v>525964000</v>
      </c>
      <c r="K16" s="32">
        <f>78982000</f>
        <v>78982000</v>
      </c>
      <c r="L16" s="32">
        <f>1240000</f>
        <v>1240000</v>
      </c>
      <c r="M16" s="32">
        <f>0</f>
        <v>0</v>
      </c>
      <c r="N16" s="32">
        <f>0</f>
        <v>0</v>
      </c>
      <c r="O16" s="32">
        <f>0</f>
        <v>0</v>
      </c>
      <c r="P16" s="32">
        <f>0</f>
        <v>0</v>
      </c>
      <c r="Q16" s="32">
        <f>0</f>
        <v>0</v>
      </c>
    </row>
    <row r="17" spans="1:17" ht="31.5" customHeight="1">
      <c r="A17" s="29" t="s">
        <v>48</v>
      </c>
      <c r="B17" s="27">
        <f>33600909801.11</f>
        <v>33600909801.11</v>
      </c>
      <c r="C17" s="27">
        <f>33600909801.11</f>
        <v>33600909801.11</v>
      </c>
      <c r="D17" s="27">
        <f>2716698369.7</f>
        <v>2716698369.7</v>
      </c>
      <c r="E17" s="27">
        <f>281688972.18</f>
        <v>281688972.18</v>
      </c>
      <c r="F17" s="27">
        <f>291057071.5</f>
        <v>291057071.5</v>
      </c>
      <c r="G17" s="27">
        <f>2143554302.79</f>
        <v>2143554302.79</v>
      </c>
      <c r="H17" s="27">
        <f>398023.23</f>
        <v>398023.23</v>
      </c>
      <c r="I17" s="27">
        <f>0</f>
        <v>0</v>
      </c>
      <c r="J17" s="27">
        <f>29862266239.23</f>
        <v>29862266239.23</v>
      </c>
      <c r="K17" s="27">
        <f>779533282.28</f>
        <v>779533282.28</v>
      </c>
      <c r="L17" s="27">
        <f>220372747.25</f>
        <v>220372747.25</v>
      </c>
      <c r="M17" s="27">
        <f>12933498.48</f>
        <v>12933498.48</v>
      </c>
      <c r="N17" s="27">
        <f>9105664.17</f>
        <v>9105664.17</v>
      </c>
      <c r="O17" s="27">
        <f>0</f>
        <v>0</v>
      </c>
      <c r="P17" s="27">
        <f>0</f>
        <v>0</v>
      </c>
      <c r="Q17" s="27">
        <f>0</f>
        <v>0</v>
      </c>
    </row>
    <row r="18" spans="1:17" ht="33" customHeight="1">
      <c r="A18" s="19" t="s">
        <v>49</v>
      </c>
      <c r="B18" s="32">
        <f>83838298.47</f>
        <v>83838298.47</v>
      </c>
      <c r="C18" s="32">
        <f>83838298.47</f>
        <v>83838298.47</v>
      </c>
      <c r="D18" s="32">
        <f>23967850.98</f>
        <v>23967850.98</v>
      </c>
      <c r="E18" s="32">
        <f>17029333.77</f>
        <v>17029333.77</v>
      </c>
      <c r="F18" s="32">
        <f>517192.85</f>
        <v>517192.85</v>
      </c>
      <c r="G18" s="32">
        <f>6421324.36</f>
        <v>6421324.36</v>
      </c>
      <c r="H18" s="32">
        <f>0</f>
        <v>0</v>
      </c>
      <c r="I18" s="32">
        <f>0</f>
        <v>0</v>
      </c>
      <c r="J18" s="32">
        <f>56039704.36</f>
        <v>56039704.36</v>
      </c>
      <c r="K18" s="32">
        <f>4014.06</f>
        <v>4014.06</v>
      </c>
      <c r="L18" s="32">
        <f>3296818.47</f>
        <v>3296818.47</v>
      </c>
      <c r="M18" s="32">
        <f>103440</f>
        <v>103440</v>
      </c>
      <c r="N18" s="32">
        <f>426470.6</f>
        <v>426470.6</v>
      </c>
      <c r="O18" s="32">
        <f>0</f>
        <v>0</v>
      </c>
      <c r="P18" s="32">
        <f>0</f>
        <v>0</v>
      </c>
      <c r="Q18" s="32">
        <f>0</f>
        <v>0</v>
      </c>
    </row>
    <row r="19" spans="1:17" ht="25.5" customHeight="1">
      <c r="A19" s="20" t="s">
        <v>50</v>
      </c>
      <c r="B19" s="32">
        <f>33517071502.64</f>
        <v>33517071502.64</v>
      </c>
      <c r="C19" s="32">
        <f>33517071502.64</f>
        <v>33517071502.64</v>
      </c>
      <c r="D19" s="32">
        <f>2692730518.72</f>
        <v>2692730518.72</v>
      </c>
      <c r="E19" s="32">
        <f>264659638.41</f>
        <v>264659638.41</v>
      </c>
      <c r="F19" s="32">
        <f>290539878.65</f>
        <v>290539878.65</v>
      </c>
      <c r="G19" s="32">
        <f>2137132978.43</f>
        <v>2137132978.43</v>
      </c>
      <c r="H19" s="32">
        <f>398023.23</f>
        <v>398023.23</v>
      </c>
      <c r="I19" s="32">
        <f>0</f>
        <v>0</v>
      </c>
      <c r="J19" s="32">
        <f>29806226534.87</f>
        <v>29806226534.87</v>
      </c>
      <c r="K19" s="32">
        <f>779529268.22</f>
        <v>779529268.22</v>
      </c>
      <c r="L19" s="32">
        <f>217075928.78</f>
        <v>217075928.78</v>
      </c>
      <c r="M19" s="32">
        <f>12830058.48</f>
        <v>12830058.48</v>
      </c>
      <c r="N19" s="32">
        <f>8679193.57</f>
        <v>8679193.57</v>
      </c>
      <c r="O19" s="32">
        <f>0</f>
        <v>0</v>
      </c>
      <c r="P19" s="32">
        <f>0</f>
        <v>0</v>
      </c>
      <c r="Q19" s="32">
        <f>0</f>
        <v>0</v>
      </c>
    </row>
    <row r="20" spans="1:17" ht="27.75" customHeight="1">
      <c r="A20" s="30" t="s">
        <v>51</v>
      </c>
      <c r="B20" s="27">
        <f>0</f>
        <v>0</v>
      </c>
      <c r="C20" s="27">
        <f>0</f>
        <v>0</v>
      </c>
      <c r="D20" s="27">
        <f>0</f>
        <v>0</v>
      </c>
      <c r="E20" s="27">
        <f>0</f>
        <v>0</v>
      </c>
      <c r="F20" s="27">
        <f>0</f>
        <v>0</v>
      </c>
      <c r="G20" s="27">
        <f>0</f>
        <v>0</v>
      </c>
      <c r="H20" s="27">
        <f>0</f>
        <v>0</v>
      </c>
      <c r="I20" s="27">
        <f>0</f>
        <v>0</v>
      </c>
      <c r="J20" s="27">
        <f>0</f>
        <v>0</v>
      </c>
      <c r="K20" s="27">
        <f>0</f>
        <v>0</v>
      </c>
      <c r="L20" s="27">
        <f>0</f>
        <v>0</v>
      </c>
      <c r="M20" s="27">
        <f>0</f>
        <v>0</v>
      </c>
      <c r="N20" s="27">
        <f>0</f>
        <v>0</v>
      </c>
      <c r="O20" s="27">
        <f>0</f>
        <v>0</v>
      </c>
      <c r="P20" s="27">
        <f>0</f>
        <v>0</v>
      </c>
      <c r="Q20" s="27">
        <f>0</f>
        <v>0</v>
      </c>
    </row>
    <row r="21" spans="1:17" ht="36">
      <c r="A21" s="31" t="s">
        <v>52</v>
      </c>
      <c r="B21" s="27">
        <f>28853965.46</f>
        <v>28853965.46</v>
      </c>
      <c r="C21" s="27">
        <f>28845523.04</f>
        <v>28845523.04</v>
      </c>
      <c r="D21" s="27">
        <f>8566912.76</f>
        <v>8566912.76</v>
      </c>
      <c r="E21" s="27">
        <f>387153.51</f>
        <v>387153.51</v>
      </c>
      <c r="F21" s="27">
        <f>2165139.21</f>
        <v>2165139.21</v>
      </c>
      <c r="G21" s="27">
        <f>4746976.27</f>
        <v>4746976.27</v>
      </c>
      <c r="H21" s="27">
        <f>1267643.77</f>
        <v>1267643.77</v>
      </c>
      <c r="I21" s="27">
        <f>0</f>
        <v>0</v>
      </c>
      <c r="J21" s="27">
        <f>305978.01</f>
        <v>305978.01</v>
      </c>
      <c r="K21" s="27">
        <f>313235.91</f>
        <v>313235.91</v>
      </c>
      <c r="L21" s="27">
        <f>9414356.56</f>
        <v>9414356.56</v>
      </c>
      <c r="M21" s="27">
        <f>7110612.4</f>
        <v>7110612.4</v>
      </c>
      <c r="N21" s="27">
        <f>3134427.4</f>
        <v>3134427.4</v>
      </c>
      <c r="O21" s="27">
        <f>8442.42</f>
        <v>8442.42</v>
      </c>
      <c r="P21" s="27">
        <f>7599.66</f>
        <v>7599.66</v>
      </c>
      <c r="Q21" s="27">
        <f>842.76</f>
        <v>842.76</v>
      </c>
    </row>
    <row r="22" spans="1:17" ht="27" customHeight="1">
      <c r="A22" s="18" t="s">
        <v>53</v>
      </c>
      <c r="B22" s="32">
        <f>16556410.25</f>
        <v>16556410.25</v>
      </c>
      <c r="C22" s="32">
        <f>16548810.59</f>
        <v>16548810.59</v>
      </c>
      <c r="D22" s="32">
        <f>448073.27</f>
        <v>448073.27</v>
      </c>
      <c r="E22" s="32">
        <f>450.87</f>
        <v>450.87</v>
      </c>
      <c r="F22" s="32">
        <f>130</f>
        <v>130</v>
      </c>
      <c r="G22" s="32">
        <f>447492.4</f>
        <v>447492.4</v>
      </c>
      <c r="H22" s="32">
        <f>0</f>
        <v>0</v>
      </c>
      <c r="I22" s="32">
        <f>0</f>
        <v>0</v>
      </c>
      <c r="J22" s="32">
        <f>0</f>
        <v>0</v>
      </c>
      <c r="K22" s="32">
        <f>19633.28</f>
        <v>19633.28</v>
      </c>
      <c r="L22" s="32">
        <f>8320059.26</f>
        <v>8320059.26</v>
      </c>
      <c r="M22" s="32">
        <f>4639817.49</f>
        <v>4639817.49</v>
      </c>
      <c r="N22" s="32">
        <f>3121227.29</f>
        <v>3121227.29</v>
      </c>
      <c r="O22" s="32">
        <f>7599.66</f>
        <v>7599.66</v>
      </c>
      <c r="P22" s="32">
        <f>7599.66</f>
        <v>7599.66</v>
      </c>
      <c r="Q22" s="32">
        <f>0</f>
        <v>0</v>
      </c>
    </row>
    <row r="23" spans="1:17" ht="31.5" customHeight="1">
      <c r="A23" s="24" t="s">
        <v>54</v>
      </c>
      <c r="B23" s="32">
        <f>12297555.21</f>
        <v>12297555.21</v>
      </c>
      <c r="C23" s="32">
        <f>12296712.45</f>
        <v>12296712.45</v>
      </c>
      <c r="D23" s="32">
        <f>8118839.49</f>
        <v>8118839.49</v>
      </c>
      <c r="E23" s="32">
        <f>386702.64</f>
        <v>386702.64</v>
      </c>
      <c r="F23" s="32">
        <f>2165009.21</f>
        <v>2165009.21</v>
      </c>
      <c r="G23" s="32">
        <f>4299483.87</f>
        <v>4299483.87</v>
      </c>
      <c r="H23" s="32">
        <f>1267643.77</f>
        <v>1267643.77</v>
      </c>
      <c r="I23" s="32">
        <f>0</f>
        <v>0</v>
      </c>
      <c r="J23" s="32">
        <f>305978.01</f>
        <v>305978.01</v>
      </c>
      <c r="K23" s="32">
        <f>293602.63</f>
        <v>293602.63</v>
      </c>
      <c r="L23" s="32">
        <f>1094297.3</f>
        <v>1094297.3</v>
      </c>
      <c r="M23" s="32">
        <f>2470794.91</f>
        <v>2470794.91</v>
      </c>
      <c r="N23" s="32">
        <f>13200.11</f>
        <v>13200.11</v>
      </c>
      <c r="O23" s="32">
        <f>842.76</f>
        <v>842.76</v>
      </c>
      <c r="P23" s="32">
        <f>0</f>
        <v>0</v>
      </c>
      <c r="Q23" s="32">
        <f>842.76</f>
        <v>842.76</v>
      </c>
    </row>
    <row r="24" spans="1:17" ht="19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9.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9.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9.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9.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9.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9.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9.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9.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9.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3" ht="45.75" customHeight="1">
      <c r="A34" s="50" t="s">
        <v>78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6" spans="1:13" ht="13.5" customHeight="1">
      <c r="A36" s="54" t="s">
        <v>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8" spans="1:17" ht="13.5" customHeight="1">
      <c r="A38" s="39" t="s">
        <v>0</v>
      </c>
      <c r="B38" s="55" t="s">
        <v>9</v>
      </c>
      <c r="C38" s="47" t="s">
        <v>11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51" t="s">
        <v>21</v>
      </c>
      <c r="P38" s="52"/>
      <c r="Q38" s="53"/>
    </row>
    <row r="39" spans="1:17" ht="13.5" customHeight="1">
      <c r="A39" s="40"/>
      <c r="B39" s="42"/>
      <c r="C39" s="42" t="s">
        <v>10</v>
      </c>
      <c r="D39" s="44" t="s">
        <v>12</v>
      </c>
      <c r="E39" s="44" t="s">
        <v>22</v>
      </c>
      <c r="F39" s="44" t="s">
        <v>23</v>
      </c>
      <c r="G39" s="44" t="s">
        <v>72</v>
      </c>
      <c r="H39" s="44" t="s">
        <v>25</v>
      </c>
      <c r="I39" s="44" t="s">
        <v>1</v>
      </c>
      <c r="J39" s="44" t="s">
        <v>13</v>
      </c>
      <c r="K39" s="44" t="s">
        <v>14</v>
      </c>
      <c r="L39" s="44" t="s">
        <v>15</v>
      </c>
      <c r="M39" s="44" t="s">
        <v>16</v>
      </c>
      <c r="N39" s="88" t="s">
        <v>17</v>
      </c>
      <c r="O39" s="46" t="s">
        <v>18</v>
      </c>
      <c r="P39" s="46" t="s">
        <v>19</v>
      </c>
      <c r="Q39" s="97" t="s">
        <v>20</v>
      </c>
    </row>
    <row r="40" spans="1:17" ht="11.25" customHeight="1">
      <c r="A40" s="40"/>
      <c r="B40" s="42"/>
      <c r="C40" s="42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88"/>
      <c r="O40" s="46"/>
      <c r="P40" s="46"/>
      <c r="Q40" s="98"/>
    </row>
    <row r="41" spans="1:17" ht="32.25" customHeight="1">
      <c r="A41" s="41"/>
      <c r="B41" s="43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88"/>
      <c r="O41" s="46"/>
      <c r="P41" s="46"/>
      <c r="Q41" s="99"/>
    </row>
    <row r="42" spans="1:17" ht="12.75" customHeight="1">
      <c r="A42" s="11">
        <v>1</v>
      </c>
      <c r="B42" s="11">
        <v>2</v>
      </c>
      <c r="C42" s="11">
        <v>3</v>
      </c>
      <c r="D42" s="11">
        <v>4</v>
      </c>
      <c r="E42" s="11">
        <v>5</v>
      </c>
      <c r="F42" s="11">
        <v>6</v>
      </c>
      <c r="G42" s="11">
        <v>7</v>
      </c>
      <c r="H42" s="11">
        <v>8</v>
      </c>
      <c r="I42" s="11">
        <v>9</v>
      </c>
      <c r="J42" s="11">
        <v>10</v>
      </c>
      <c r="K42" s="11">
        <v>11</v>
      </c>
      <c r="L42" s="11">
        <v>12</v>
      </c>
      <c r="M42" s="11">
        <v>13</v>
      </c>
      <c r="N42" s="11">
        <v>14</v>
      </c>
      <c r="O42" s="11"/>
      <c r="P42" s="11"/>
      <c r="Q42" s="17"/>
    </row>
    <row r="43" spans="1:17" ht="13.5" customHeight="1">
      <c r="A43" s="11"/>
      <c r="B43" s="47" t="s">
        <v>77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  <c r="O43" s="11">
        <v>15</v>
      </c>
      <c r="P43" s="11">
        <v>16</v>
      </c>
      <c r="Q43" s="11">
        <v>17</v>
      </c>
    </row>
    <row r="44" spans="1:17" ht="27.75" customHeight="1" hidden="1">
      <c r="A44" s="12" t="s">
        <v>26</v>
      </c>
      <c r="B44" s="13">
        <f>0</f>
        <v>0</v>
      </c>
      <c r="C44" s="13">
        <f>0</f>
        <v>0</v>
      </c>
      <c r="D44" s="13">
        <f>0</f>
        <v>0</v>
      </c>
      <c r="E44" s="13">
        <f>0</f>
        <v>0</v>
      </c>
      <c r="F44" s="13">
        <f>0</f>
        <v>0</v>
      </c>
      <c r="G44" s="13">
        <f>0</f>
        <v>0</v>
      </c>
      <c r="H44" s="13">
        <f>0</f>
        <v>0</v>
      </c>
      <c r="I44" s="13">
        <f>0</f>
        <v>0</v>
      </c>
      <c r="J44" s="13">
        <f>0</f>
        <v>0</v>
      </c>
      <c r="K44" s="13">
        <f>0</f>
        <v>0</v>
      </c>
      <c r="L44" s="13">
        <f>0</f>
        <v>0</v>
      </c>
      <c r="M44" s="13">
        <f>0</f>
        <v>0</v>
      </c>
      <c r="N44" s="13">
        <f>0</f>
        <v>0</v>
      </c>
      <c r="O44" s="13">
        <f>0</f>
        <v>0</v>
      </c>
      <c r="P44" s="13">
        <f>0</f>
        <v>0</v>
      </c>
      <c r="Q44" s="13">
        <f>0</f>
        <v>0</v>
      </c>
    </row>
    <row r="45" spans="1:17" ht="24.75" customHeight="1">
      <c r="A45" s="33" t="s">
        <v>39</v>
      </c>
      <c r="B45" s="34">
        <f>281784.2</f>
        <v>281784.2</v>
      </c>
      <c r="C45" s="34">
        <f>281784.2</f>
        <v>281784.2</v>
      </c>
      <c r="D45" s="34">
        <f>0</f>
        <v>0</v>
      </c>
      <c r="E45" s="34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122784.2</f>
        <v>122784.2</v>
      </c>
      <c r="K45" s="34">
        <f>24000</f>
        <v>24000</v>
      </c>
      <c r="L45" s="34">
        <f>135000</f>
        <v>135000</v>
      </c>
      <c r="M45" s="34">
        <f>0</f>
        <v>0</v>
      </c>
      <c r="N45" s="34">
        <f>0</f>
        <v>0</v>
      </c>
      <c r="O45" s="34">
        <f>0</f>
        <v>0</v>
      </c>
      <c r="P45" s="34">
        <f>0</f>
        <v>0</v>
      </c>
      <c r="Q45" s="34">
        <f>0</f>
        <v>0</v>
      </c>
    </row>
    <row r="46" spans="1:17" ht="24.75" customHeight="1">
      <c r="A46" s="22" t="s">
        <v>27</v>
      </c>
      <c r="B46" s="25">
        <f>6000</f>
        <v>6000</v>
      </c>
      <c r="C46" s="25">
        <f>6000</f>
        <v>6000</v>
      </c>
      <c r="D46" s="25">
        <f>0</f>
        <v>0</v>
      </c>
      <c r="E46" s="25">
        <f>0</f>
        <v>0</v>
      </c>
      <c r="F46" s="25">
        <f>0</f>
        <v>0</v>
      </c>
      <c r="G46" s="25">
        <f>0</f>
        <v>0</v>
      </c>
      <c r="H46" s="25">
        <f>0</f>
        <v>0</v>
      </c>
      <c r="I46" s="25">
        <f>0</f>
        <v>0</v>
      </c>
      <c r="J46" s="25">
        <f>6000</f>
        <v>6000</v>
      </c>
      <c r="K46" s="25">
        <f>0</f>
        <v>0</v>
      </c>
      <c r="L46" s="25">
        <f>0</f>
        <v>0</v>
      </c>
      <c r="M46" s="25">
        <f>0</f>
        <v>0</v>
      </c>
      <c r="N46" s="25">
        <f>0</f>
        <v>0</v>
      </c>
      <c r="O46" s="14">
        <f>0</f>
        <v>0</v>
      </c>
      <c r="P46" s="14">
        <f>0</f>
        <v>0</v>
      </c>
      <c r="Q46" s="14">
        <f>0</f>
        <v>0</v>
      </c>
    </row>
    <row r="47" spans="1:17" ht="24.75" customHeight="1">
      <c r="A47" s="22" t="s">
        <v>28</v>
      </c>
      <c r="B47" s="25">
        <f>275784.2</f>
        <v>275784.2</v>
      </c>
      <c r="C47" s="25">
        <f>275784.2</f>
        <v>275784.2</v>
      </c>
      <c r="D47" s="25">
        <f>0</f>
        <v>0</v>
      </c>
      <c r="E47" s="25">
        <f>0</f>
        <v>0</v>
      </c>
      <c r="F47" s="25">
        <f>0</f>
        <v>0</v>
      </c>
      <c r="G47" s="25">
        <f>0</f>
        <v>0</v>
      </c>
      <c r="H47" s="25">
        <f>0</f>
        <v>0</v>
      </c>
      <c r="I47" s="25">
        <f>0</f>
        <v>0</v>
      </c>
      <c r="J47" s="25">
        <f>116784.2</f>
        <v>116784.2</v>
      </c>
      <c r="K47" s="25">
        <f>24000</f>
        <v>24000</v>
      </c>
      <c r="L47" s="25">
        <f>135000</f>
        <v>135000</v>
      </c>
      <c r="M47" s="25">
        <f>0</f>
        <v>0</v>
      </c>
      <c r="N47" s="25">
        <f>0</f>
        <v>0</v>
      </c>
      <c r="O47" s="14">
        <f>0</f>
        <v>0</v>
      </c>
      <c r="P47" s="14">
        <f>0</f>
        <v>0</v>
      </c>
      <c r="Q47" s="14">
        <f>0</f>
        <v>0</v>
      </c>
    </row>
    <row r="48" spans="1:17" ht="24.75" customHeight="1">
      <c r="A48" s="23" t="s">
        <v>40</v>
      </c>
      <c r="B48" s="25">
        <f>418622198.67</f>
        <v>418622198.67</v>
      </c>
      <c r="C48" s="25">
        <f>418533270.55</f>
        <v>418533270.55</v>
      </c>
      <c r="D48" s="25">
        <f>20937698.88</f>
        <v>20937698.88</v>
      </c>
      <c r="E48" s="25">
        <f>148606</f>
        <v>148606</v>
      </c>
      <c r="F48" s="25">
        <f>506128.68</f>
        <v>506128.68</v>
      </c>
      <c r="G48" s="25">
        <f>18482964.2</f>
        <v>18482964.2</v>
      </c>
      <c r="H48" s="25">
        <f>1800000</f>
        <v>1800000</v>
      </c>
      <c r="I48" s="25">
        <f>0</f>
        <v>0</v>
      </c>
      <c r="J48" s="25">
        <f>47045674.4</f>
        <v>47045674.4</v>
      </c>
      <c r="K48" s="25">
        <f>0</f>
        <v>0</v>
      </c>
      <c r="L48" s="25">
        <f>118078937.97</f>
        <v>118078937.97</v>
      </c>
      <c r="M48" s="25">
        <f>207427168.92</f>
        <v>207427168.92</v>
      </c>
      <c r="N48" s="25">
        <f>25043790.38</f>
        <v>25043790.38</v>
      </c>
      <c r="O48" s="14">
        <f>88928.12</f>
        <v>88928.12</v>
      </c>
      <c r="P48" s="14">
        <f>3883.66</f>
        <v>3883.66</v>
      </c>
      <c r="Q48" s="14">
        <f>85044.46</f>
        <v>85044.46</v>
      </c>
    </row>
    <row r="49" spans="1:17" ht="24.75" customHeight="1">
      <c r="A49" s="22" t="s">
        <v>29</v>
      </c>
      <c r="B49" s="25">
        <f>15771406.39</f>
        <v>15771406.39</v>
      </c>
      <c r="C49" s="25">
        <f>15746406.39</f>
        <v>15746406.39</v>
      </c>
      <c r="D49" s="25">
        <f>4183353.94</f>
        <v>4183353.94</v>
      </c>
      <c r="E49" s="25">
        <f>173.2</f>
        <v>173.2</v>
      </c>
      <c r="F49" s="25">
        <f>0</f>
        <v>0</v>
      </c>
      <c r="G49" s="25">
        <f>4183180.74</f>
        <v>4183180.74</v>
      </c>
      <c r="H49" s="25">
        <f>0</f>
        <v>0</v>
      </c>
      <c r="I49" s="25">
        <f>0</f>
        <v>0</v>
      </c>
      <c r="J49" s="25">
        <f>0</f>
        <v>0</v>
      </c>
      <c r="K49" s="25">
        <f>0</f>
        <v>0</v>
      </c>
      <c r="L49" s="25">
        <f>3203053.44</f>
        <v>3203053.44</v>
      </c>
      <c r="M49" s="25">
        <f>2058947.99</f>
        <v>2058947.99</v>
      </c>
      <c r="N49" s="25">
        <f>6301051.02</f>
        <v>6301051.02</v>
      </c>
      <c r="O49" s="14">
        <f>25000</f>
        <v>25000</v>
      </c>
      <c r="P49" s="14">
        <f>0</f>
        <v>0</v>
      </c>
      <c r="Q49" s="14">
        <f>25000</f>
        <v>25000</v>
      </c>
    </row>
    <row r="50" spans="1:17" ht="24.75" customHeight="1">
      <c r="A50" s="22" t="s">
        <v>30</v>
      </c>
      <c r="B50" s="25">
        <f>402850792.28</f>
        <v>402850792.28</v>
      </c>
      <c r="C50" s="25">
        <f>402786864.16</f>
        <v>402786864.16</v>
      </c>
      <c r="D50" s="25">
        <f>16754344.94</f>
        <v>16754344.94</v>
      </c>
      <c r="E50" s="25">
        <f>148432.8</f>
        <v>148432.8</v>
      </c>
      <c r="F50" s="25">
        <f>506128.68</f>
        <v>506128.68</v>
      </c>
      <c r="G50" s="25">
        <f>14299783.46</f>
        <v>14299783.46</v>
      </c>
      <c r="H50" s="25">
        <f>1800000</f>
        <v>1800000</v>
      </c>
      <c r="I50" s="25">
        <f>0</f>
        <v>0</v>
      </c>
      <c r="J50" s="25">
        <f>47045674.4</f>
        <v>47045674.4</v>
      </c>
      <c r="K50" s="25">
        <f>0</f>
        <v>0</v>
      </c>
      <c r="L50" s="25">
        <f>114875884.53</f>
        <v>114875884.53</v>
      </c>
      <c r="M50" s="25">
        <f>205368220.93</f>
        <v>205368220.93</v>
      </c>
      <c r="N50" s="25">
        <f>18742739.36</f>
        <v>18742739.36</v>
      </c>
      <c r="O50" s="14">
        <f>63928.12</f>
        <v>63928.12</v>
      </c>
      <c r="P50" s="14">
        <f>3883.66</f>
        <v>3883.66</v>
      </c>
      <c r="Q50" s="14">
        <f>60044.46</f>
        <v>60044.46</v>
      </c>
    </row>
    <row r="51" spans="1:17" ht="24.75" customHeight="1">
      <c r="A51" s="33" t="s">
        <v>41</v>
      </c>
      <c r="B51" s="34">
        <f>18524874596.67</f>
        <v>18524874596.67</v>
      </c>
      <c r="C51" s="34">
        <f>18524874596.67</f>
        <v>18524874596.67</v>
      </c>
      <c r="D51" s="34">
        <f>16737790.27</f>
        <v>16737790.27</v>
      </c>
      <c r="E51" s="34">
        <f>15900436.35</f>
        <v>15900436.35</v>
      </c>
      <c r="F51" s="34">
        <f>11994.58</f>
        <v>11994.58</v>
      </c>
      <c r="G51" s="34">
        <f>825359.34</f>
        <v>825359.34</v>
      </c>
      <c r="H51" s="34">
        <f>0</f>
        <v>0</v>
      </c>
      <c r="I51" s="34">
        <f>0</f>
        <v>0</v>
      </c>
      <c r="J51" s="34">
        <f>18503738200.15</f>
        <v>18503738200.15</v>
      </c>
      <c r="K51" s="34">
        <f>3413.06</f>
        <v>3413.06</v>
      </c>
      <c r="L51" s="34">
        <f>4288473.73</f>
        <v>4288473.73</v>
      </c>
      <c r="M51" s="34">
        <f>106719.46</f>
        <v>106719.46</v>
      </c>
      <c r="N51" s="34">
        <f>0</f>
        <v>0</v>
      </c>
      <c r="O51" s="34">
        <f>0</f>
        <v>0</v>
      </c>
      <c r="P51" s="34">
        <f>0</f>
        <v>0</v>
      </c>
      <c r="Q51" s="34">
        <f>0</f>
        <v>0</v>
      </c>
    </row>
    <row r="52" spans="1:17" ht="24.75" customHeight="1">
      <c r="A52" s="22" t="s">
        <v>31</v>
      </c>
      <c r="B52" s="25">
        <f>768395.5</f>
        <v>768395.5</v>
      </c>
      <c r="C52" s="25">
        <f>768395.5</f>
        <v>768395.5</v>
      </c>
      <c r="D52" s="25">
        <f>768395.5</f>
        <v>768395.5</v>
      </c>
      <c r="E52" s="25">
        <f>0</f>
        <v>0</v>
      </c>
      <c r="F52" s="25">
        <f>0</f>
        <v>0</v>
      </c>
      <c r="G52" s="25">
        <f>768395.5</f>
        <v>768395.5</v>
      </c>
      <c r="H52" s="25">
        <f>0</f>
        <v>0</v>
      </c>
      <c r="I52" s="25">
        <f>0</f>
        <v>0</v>
      </c>
      <c r="J52" s="25">
        <f>0</f>
        <v>0</v>
      </c>
      <c r="K52" s="25">
        <f>0</f>
        <v>0</v>
      </c>
      <c r="L52" s="25">
        <f>0</f>
        <v>0</v>
      </c>
      <c r="M52" s="25">
        <f>0</f>
        <v>0</v>
      </c>
      <c r="N52" s="25">
        <f>0</f>
        <v>0</v>
      </c>
      <c r="O52" s="14">
        <f>0</f>
        <v>0</v>
      </c>
      <c r="P52" s="14">
        <f>0</f>
        <v>0</v>
      </c>
      <c r="Q52" s="14">
        <f>0</f>
        <v>0</v>
      </c>
    </row>
    <row r="53" spans="1:17" ht="24.75" customHeight="1">
      <c r="A53" s="22" t="s">
        <v>32</v>
      </c>
      <c r="B53" s="25">
        <f>17215286025.69</f>
        <v>17215286025.69</v>
      </c>
      <c r="C53" s="25">
        <f>17215286025.69</f>
        <v>17215286025.69</v>
      </c>
      <c r="D53" s="25">
        <f>15870100.19</f>
        <v>15870100.19</v>
      </c>
      <c r="E53" s="25">
        <f>15823016.35</f>
        <v>15823016.35</v>
      </c>
      <c r="F53" s="25">
        <f>120</f>
        <v>120</v>
      </c>
      <c r="G53" s="25">
        <f>46963.84</f>
        <v>46963.84</v>
      </c>
      <c r="H53" s="25">
        <f>0</f>
        <v>0</v>
      </c>
      <c r="I53" s="25">
        <f>0</f>
        <v>0</v>
      </c>
      <c r="J53" s="25">
        <f>17195410359.3</f>
        <v>17195410359.3</v>
      </c>
      <c r="K53" s="25">
        <f>906.74</f>
        <v>906.74</v>
      </c>
      <c r="L53" s="25">
        <f>4004659.46</f>
        <v>4004659.46</v>
      </c>
      <c r="M53" s="25">
        <f>0</f>
        <v>0</v>
      </c>
      <c r="N53" s="25">
        <f>0</f>
        <v>0</v>
      </c>
      <c r="O53" s="14">
        <f>0</f>
        <v>0</v>
      </c>
      <c r="P53" s="14">
        <f>0</f>
        <v>0</v>
      </c>
      <c r="Q53" s="14">
        <f>0</f>
        <v>0</v>
      </c>
    </row>
    <row r="54" spans="1:17" ht="24.75" customHeight="1">
      <c r="A54" s="22" t="s">
        <v>33</v>
      </c>
      <c r="B54" s="25">
        <f>1308820175.48</f>
        <v>1308820175.48</v>
      </c>
      <c r="C54" s="25">
        <f>1308820175.48</f>
        <v>1308820175.48</v>
      </c>
      <c r="D54" s="25">
        <f>99294.58</f>
        <v>99294.58</v>
      </c>
      <c r="E54" s="25">
        <f>77420</f>
        <v>77420</v>
      </c>
      <c r="F54" s="25">
        <f>11874.58</f>
        <v>11874.58</v>
      </c>
      <c r="G54" s="25">
        <f>10000</f>
        <v>10000</v>
      </c>
      <c r="H54" s="25">
        <f>0</f>
        <v>0</v>
      </c>
      <c r="I54" s="25">
        <f>0</f>
        <v>0</v>
      </c>
      <c r="J54" s="25">
        <f>1308327840.85</f>
        <v>1308327840.85</v>
      </c>
      <c r="K54" s="25">
        <f>2506.32</f>
        <v>2506.32</v>
      </c>
      <c r="L54" s="25">
        <f>283814.27</f>
        <v>283814.27</v>
      </c>
      <c r="M54" s="25">
        <f>106719.46</f>
        <v>106719.46</v>
      </c>
      <c r="N54" s="25">
        <f>0</f>
        <v>0</v>
      </c>
      <c r="O54" s="14">
        <f>0</f>
        <v>0</v>
      </c>
      <c r="P54" s="14">
        <f>0</f>
        <v>0</v>
      </c>
      <c r="Q54" s="14">
        <f>0</f>
        <v>0</v>
      </c>
    </row>
    <row r="55" spans="1:17" ht="24.75" customHeight="1">
      <c r="A55" s="33" t="s">
        <v>42</v>
      </c>
      <c r="B55" s="34">
        <f>9270216971.06</f>
        <v>9270216971.06</v>
      </c>
      <c r="C55" s="34">
        <f>9247491519.91</f>
        <v>9247491519.91</v>
      </c>
      <c r="D55" s="34">
        <f>146589324.19</f>
        <v>146589324.19</v>
      </c>
      <c r="E55" s="34">
        <f>97598699.37</f>
        <v>97598699.37</v>
      </c>
      <c r="F55" s="34">
        <f>4707025</f>
        <v>4707025</v>
      </c>
      <c r="G55" s="34">
        <f>44137225.67</f>
        <v>44137225.67</v>
      </c>
      <c r="H55" s="34">
        <f>146374.15</f>
        <v>146374.15</v>
      </c>
      <c r="I55" s="34">
        <f>0</f>
        <v>0</v>
      </c>
      <c r="J55" s="34">
        <f>20586235.83</f>
        <v>20586235.83</v>
      </c>
      <c r="K55" s="34">
        <f>11780460.17</f>
        <v>11780460.17</v>
      </c>
      <c r="L55" s="34">
        <f>1983870756.75</f>
        <v>1983870756.75</v>
      </c>
      <c r="M55" s="34">
        <f>7021914904.61</f>
        <v>7021914904.61</v>
      </c>
      <c r="N55" s="34">
        <f>62749838.36</f>
        <v>62749838.36</v>
      </c>
      <c r="O55" s="34">
        <f>22725451.15</f>
        <v>22725451.15</v>
      </c>
      <c r="P55" s="34">
        <f>15085392.43</f>
        <v>15085392.43</v>
      </c>
      <c r="Q55" s="34">
        <f>7640058.72</f>
        <v>7640058.72</v>
      </c>
    </row>
    <row r="56" spans="1:17" ht="24.75" customHeight="1">
      <c r="A56" s="21" t="s">
        <v>34</v>
      </c>
      <c r="B56" s="25">
        <f>1157530610.64</f>
        <v>1157530610.64</v>
      </c>
      <c r="C56" s="25">
        <f>1157355301.38</f>
        <v>1157355301.38</v>
      </c>
      <c r="D56" s="25">
        <f>3928848.02</f>
        <v>3928848.02</v>
      </c>
      <c r="E56" s="25">
        <f>1903199.92</f>
        <v>1903199.92</v>
      </c>
      <c r="F56" s="25">
        <f>318622.71</f>
        <v>318622.71</v>
      </c>
      <c r="G56" s="25">
        <f>1649504.82</f>
        <v>1649504.82</v>
      </c>
      <c r="H56" s="25">
        <f>57520.57</f>
        <v>57520.57</v>
      </c>
      <c r="I56" s="25">
        <f>0</f>
        <v>0</v>
      </c>
      <c r="J56" s="25">
        <f>12831204.22</f>
        <v>12831204.22</v>
      </c>
      <c r="K56" s="25">
        <f>410946.43</f>
        <v>410946.43</v>
      </c>
      <c r="L56" s="25">
        <f>172091913.24</f>
        <v>172091913.24</v>
      </c>
      <c r="M56" s="25">
        <f>960452418.77</f>
        <v>960452418.77</v>
      </c>
      <c r="N56" s="25">
        <f>7639970.7</f>
        <v>7639970.7</v>
      </c>
      <c r="O56" s="14">
        <f>175309.26</f>
        <v>175309.26</v>
      </c>
      <c r="P56" s="14">
        <f>68388.49</f>
        <v>68388.49</v>
      </c>
      <c r="Q56" s="14">
        <f>106920.77</f>
        <v>106920.77</v>
      </c>
    </row>
    <row r="57" spans="1:17" ht="24.75" customHeight="1">
      <c r="A57" s="22" t="s">
        <v>35</v>
      </c>
      <c r="B57" s="25">
        <f>8112686360.42</f>
        <v>8112686360.42</v>
      </c>
      <c r="C57" s="25">
        <f>8090136218.53</f>
        <v>8090136218.53</v>
      </c>
      <c r="D57" s="25">
        <f>142660476.17</f>
        <v>142660476.17</v>
      </c>
      <c r="E57" s="25">
        <f>95695499.45</f>
        <v>95695499.45</v>
      </c>
      <c r="F57" s="25">
        <f>4388402.29</f>
        <v>4388402.29</v>
      </c>
      <c r="G57" s="25">
        <f>42487720.85</f>
        <v>42487720.85</v>
      </c>
      <c r="H57" s="25">
        <f>88853.58</f>
        <v>88853.58</v>
      </c>
      <c r="I57" s="25">
        <f>0</f>
        <v>0</v>
      </c>
      <c r="J57" s="25">
        <f>7755031.61</f>
        <v>7755031.61</v>
      </c>
      <c r="K57" s="25">
        <f>11369513.74</f>
        <v>11369513.74</v>
      </c>
      <c r="L57" s="25">
        <f>1811778843.51</f>
        <v>1811778843.51</v>
      </c>
      <c r="M57" s="25">
        <f>6061462485.84</f>
        <v>6061462485.84</v>
      </c>
      <c r="N57" s="25">
        <f>55109867.66</f>
        <v>55109867.66</v>
      </c>
      <c r="O57" s="14">
        <f>22550141.89</f>
        <v>22550141.89</v>
      </c>
      <c r="P57" s="14">
        <f>15017003.94</f>
        <v>15017003.94</v>
      </c>
      <c r="Q57" s="14">
        <f>7533137.95</f>
        <v>7533137.95</v>
      </c>
    </row>
    <row r="58" spans="1:17" ht="24.75" customHeight="1">
      <c r="A58" s="33" t="s">
        <v>43</v>
      </c>
      <c r="B58" s="34">
        <f>1948377845.27</f>
        <v>1948377845.27</v>
      </c>
      <c r="C58" s="34">
        <f>1948330949.3</f>
        <v>1948330949.3</v>
      </c>
      <c r="D58" s="34">
        <f>364172952.38</f>
        <v>364172952.38</v>
      </c>
      <c r="E58" s="34">
        <f>250101581.82</f>
        <v>250101581.82</v>
      </c>
      <c r="F58" s="34">
        <f>6399318.99</f>
        <v>6399318.99</v>
      </c>
      <c r="G58" s="34">
        <f>102888607.06</f>
        <v>102888607.06</v>
      </c>
      <c r="H58" s="34">
        <f>4783444.51</f>
        <v>4783444.51</v>
      </c>
      <c r="I58" s="34">
        <f>0</f>
        <v>0</v>
      </c>
      <c r="J58" s="34">
        <f>2314642.96</f>
        <v>2314642.96</v>
      </c>
      <c r="K58" s="34">
        <f>28935416.12</f>
        <v>28935416.12</v>
      </c>
      <c r="L58" s="34">
        <f>803814489.19</f>
        <v>803814489.19</v>
      </c>
      <c r="M58" s="34">
        <f>717505625.73</f>
        <v>717505625.73</v>
      </c>
      <c r="N58" s="34">
        <f>31587822.92</f>
        <v>31587822.92</v>
      </c>
      <c r="O58" s="34">
        <f>46895.97</f>
        <v>46895.97</v>
      </c>
      <c r="P58" s="34">
        <f>26609.04</f>
        <v>26609.04</v>
      </c>
      <c r="Q58" s="34">
        <f>20286.93</f>
        <v>20286.93</v>
      </c>
    </row>
    <row r="59" spans="1:17" ht="30" customHeight="1">
      <c r="A59" s="21" t="s">
        <v>36</v>
      </c>
      <c r="B59" s="25">
        <f>402584463.16</f>
        <v>402584463.16</v>
      </c>
      <c r="C59" s="25">
        <f>402578416.7</f>
        <v>402578416.7</v>
      </c>
      <c r="D59" s="25">
        <f>20888260.54</f>
        <v>20888260.54</v>
      </c>
      <c r="E59" s="25">
        <f>2180109.05</f>
        <v>2180109.05</v>
      </c>
      <c r="F59" s="25">
        <f>590605.65</f>
        <v>590605.65</v>
      </c>
      <c r="G59" s="25">
        <f>17787411.97</f>
        <v>17787411.97</v>
      </c>
      <c r="H59" s="25">
        <f>330133.87</f>
        <v>330133.87</v>
      </c>
      <c r="I59" s="25">
        <f>0</f>
        <v>0</v>
      </c>
      <c r="J59" s="25">
        <f>76697.62</f>
        <v>76697.62</v>
      </c>
      <c r="K59" s="25">
        <f>1699438.73</f>
        <v>1699438.73</v>
      </c>
      <c r="L59" s="25">
        <f>135985496.28</f>
        <v>135985496.28</v>
      </c>
      <c r="M59" s="25">
        <f>240070049.94</f>
        <v>240070049.94</v>
      </c>
      <c r="N59" s="25">
        <f>3858473.59</f>
        <v>3858473.59</v>
      </c>
      <c r="O59" s="14">
        <f>6046.46</f>
        <v>6046.46</v>
      </c>
      <c r="P59" s="14">
        <f>222</f>
        <v>222</v>
      </c>
      <c r="Q59" s="14">
        <f>5824.46</f>
        <v>5824.46</v>
      </c>
    </row>
    <row r="60" spans="1:17" ht="36">
      <c r="A60" s="21" t="s">
        <v>37</v>
      </c>
      <c r="B60" s="25">
        <f>359533078.64</f>
        <v>359533078.64</v>
      </c>
      <c r="C60" s="25">
        <f>359518630.64</f>
        <v>359518630.64</v>
      </c>
      <c r="D60" s="25">
        <f>140180598.5</f>
        <v>140180598.5</v>
      </c>
      <c r="E60" s="25">
        <f>131394287.22</f>
        <v>131394287.22</v>
      </c>
      <c r="F60" s="25">
        <f>767936.03</f>
        <v>767936.03</v>
      </c>
      <c r="G60" s="25">
        <f>6148373.18</f>
        <v>6148373.18</v>
      </c>
      <c r="H60" s="25">
        <f>1870002.07</f>
        <v>1870002.07</v>
      </c>
      <c r="I60" s="25">
        <f>0</f>
        <v>0</v>
      </c>
      <c r="J60" s="25">
        <f>1199638.98</f>
        <v>1199638.98</v>
      </c>
      <c r="K60" s="25">
        <f>2227506.44</f>
        <v>2227506.44</v>
      </c>
      <c r="L60" s="25">
        <f>117293237.91</f>
        <v>117293237.91</v>
      </c>
      <c r="M60" s="25">
        <f>97996936.3</f>
        <v>97996936.3</v>
      </c>
      <c r="N60" s="25">
        <f>620712.51</f>
        <v>620712.51</v>
      </c>
      <c r="O60" s="14">
        <f>14448</f>
        <v>14448</v>
      </c>
      <c r="P60" s="14">
        <f>8229</f>
        <v>8229</v>
      </c>
      <c r="Q60" s="14">
        <f>6219</f>
        <v>6219</v>
      </c>
    </row>
    <row r="61" spans="1:17" ht="30.75" customHeight="1">
      <c r="A61" s="21" t="s">
        <v>38</v>
      </c>
      <c r="B61" s="25">
        <f>1186260303.47</f>
        <v>1186260303.47</v>
      </c>
      <c r="C61" s="25">
        <f>1186233901.96</f>
        <v>1186233901.96</v>
      </c>
      <c r="D61" s="25">
        <f>203104093.34</f>
        <v>203104093.34</v>
      </c>
      <c r="E61" s="25">
        <f>116527185.55</f>
        <v>116527185.55</v>
      </c>
      <c r="F61" s="25">
        <f>5040777.31</f>
        <v>5040777.31</v>
      </c>
      <c r="G61" s="25">
        <f>78952821.91</f>
        <v>78952821.91</v>
      </c>
      <c r="H61" s="25">
        <f>2583308.57</f>
        <v>2583308.57</v>
      </c>
      <c r="I61" s="25">
        <f>0</f>
        <v>0</v>
      </c>
      <c r="J61" s="25">
        <f>1038306.36</f>
        <v>1038306.36</v>
      </c>
      <c r="K61" s="25">
        <f>25008470.95</f>
        <v>25008470.95</v>
      </c>
      <c r="L61" s="25">
        <f>550535755</f>
        <v>550535755</v>
      </c>
      <c r="M61" s="25">
        <f>379438639.49</f>
        <v>379438639.49</v>
      </c>
      <c r="N61" s="25">
        <f>27108636.82</f>
        <v>27108636.82</v>
      </c>
      <c r="O61" s="14">
        <f>26401.51</f>
        <v>26401.51</v>
      </c>
      <c r="P61" s="14">
        <f>18158.04</f>
        <v>18158.04</v>
      </c>
      <c r="Q61" s="14">
        <f>8243.47</f>
        <v>8243.47</v>
      </c>
    </row>
    <row r="78" spans="1:13" ht="75" customHeight="1">
      <c r="A78" s="50" t="s">
        <v>78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2:13" ht="13.5" customHeight="1">
      <c r="B79" s="54" t="s">
        <v>2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1" spans="2:12" ht="13.5" customHeight="1">
      <c r="B81" s="79" t="s">
        <v>0</v>
      </c>
      <c r="C81" s="80"/>
      <c r="D81" s="80"/>
      <c r="E81" s="81"/>
      <c r="F81" s="89" t="s">
        <v>70</v>
      </c>
      <c r="G81" s="61" t="s">
        <v>76</v>
      </c>
      <c r="H81" s="62"/>
      <c r="I81" s="62"/>
      <c r="J81" s="62"/>
      <c r="K81" s="62"/>
      <c r="L81" s="63"/>
    </row>
    <row r="82" spans="2:12" ht="13.5" customHeight="1">
      <c r="B82" s="82"/>
      <c r="C82" s="83"/>
      <c r="D82" s="83"/>
      <c r="E82" s="84"/>
      <c r="F82" s="90"/>
      <c r="G82" s="92" t="s">
        <v>71</v>
      </c>
      <c r="H82" s="45" t="s">
        <v>68</v>
      </c>
      <c r="I82" s="45" t="s">
        <v>69</v>
      </c>
      <c r="J82" s="45" t="s">
        <v>72</v>
      </c>
      <c r="K82" s="45" t="s">
        <v>73</v>
      </c>
      <c r="L82" s="93" t="s">
        <v>74</v>
      </c>
    </row>
    <row r="83" spans="2:12" ht="13.5" customHeight="1">
      <c r="B83" s="82"/>
      <c r="C83" s="83"/>
      <c r="D83" s="83"/>
      <c r="E83" s="84"/>
      <c r="F83" s="90"/>
      <c r="G83" s="92"/>
      <c r="H83" s="45"/>
      <c r="I83" s="45"/>
      <c r="J83" s="45"/>
      <c r="K83" s="45"/>
      <c r="L83" s="93"/>
    </row>
    <row r="84" spans="2:12" ht="11.25" customHeight="1">
      <c r="B84" s="82"/>
      <c r="C84" s="83"/>
      <c r="D84" s="83"/>
      <c r="E84" s="84"/>
      <c r="F84" s="90"/>
      <c r="G84" s="92"/>
      <c r="H84" s="45"/>
      <c r="I84" s="45"/>
      <c r="J84" s="45"/>
      <c r="K84" s="45"/>
      <c r="L84" s="93"/>
    </row>
    <row r="85" spans="2:12" ht="11.25" customHeight="1">
      <c r="B85" s="85"/>
      <c r="C85" s="86"/>
      <c r="D85" s="86"/>
      <c r="E85" s="87"/>
      <c r="F85" s="91"/>
      <c r="G85" s="92"/>
      <c r="H85" s="45"/>
      <c r="I85" s="45"/>
      <c r="J85" s="45"/>
      <c r="K85" s="45"/>
      <c r="L85" s="93"/>
    </row>
    <row r="86" spans="2:12" ht="11.25" customHeight="1">
      <c r="B86" s="45">
        <v>1</v>
      </c>
      <c r="C86" s="45"/>
      <c r="D86" s="45"/>
      <c r="E86" s="45"/>
      <c r="F86" s="3">
        <v>2</v>
      </c>
      <c r="G86" s="3">
        <v>3</v>
      </c>
      <c r="H86" s="3">
        <v>4</v>
      </c>
      <c r="I86" s="3">
        <v>5</v>
      </c>
      <c r="J86" s="3">
        <v>6</v>
      </c>
      <c r="K86" s="3">
        <v>7</v>
      </c>
      <c r="L86" s="10">
        <v>8</v>
      </c>
    </row>
    <row r="87" spans="2:12" ht="13.5" customHeight="1">
      <c r="B87" s="45"/>
      <c r="C87" s="45"/>
      <c r="D87" s="45"/>
      <c r="E87" s="45"/>
      <c r="F87" s="61" t="s">
        <v>77</v>
      </c>
      <c r="G87" s="37"/>
      <c r="H87" s="37"/>
      <c r="I87" s="37"/>
      <c r="J87" s="37"/>
      <c r="K87" s="37"/>
      <c r="L87" s="38"/>
    </row>
    <row r="88" spans="2:12" ht="33.75" customHeight="1">
      <c r="B88" s="72" t="s">
        <v>55</v>
      </c>
      <c r="C88" s="73"/>
      <c r="D88" s="73"/>
      <c r="E88" s="74"/>
      <c r="F88" s="32">
        <f>988021197.38</f>
        <v>988021197.38</v>
      </c>
      <c r="G88" s="32">
        <f>404001108.59</f>
        <v>404001108.59</v>
      </c>
      <c r="H88" s="32">
        <f>32904952.29</f>
        <v>32904952.29</v>
      </c>
      <c r="I88" s="32">
        <f>180673894.2</f>
        <v>180673894.2</v>
      </c>
      <c r="J88" s="32">
        <f>183795823.55</f>
        <v>183795823.55</v>
      </c>
      <c r="K88" s="32">
        <f>6626438.55</f>
        <v>6626438.55</v>
      </c>
      <c r="L88" s="32">
        <f>584020088.79</f>
        <v>584020088.79</v>
      </c>
    </row>
    <row r="89" spans="2:12" ht="33.75" customHeight="1">
      <c r="B89" s="72" t="s">
        <v>56</v>
      </c>
      <c r="C89" s="73"/>
      <c r="D89" s="73"/>
      <c r="E89" s="74"/>
      <c r="F89" s="32">
        <f>26065891.3</f>
        <v>26065891.3</v>
      </c>
      <c r="G89" s="32">
        <f>21861158.51</f>
        <v>21861158.51</v>
      </c>
      <c r="H89" s="32">
        <f>0</f>
        <v>0</v>
      </c>
      <c r="I89" s="32">
        <f>0</f>
        <v>0</v>
      </c>
      <c r="J89" s="32">
        <f>21861158.51</f>
        <v>21861158.51</v>
      </c>
      <c r="K89" s="32">
        <f>0</f>
        <v>0</v>
      </c>
      <c r="L89" s="32">
        <f>4204732.79</f>
        <v>4204732.79</v>
      </c>
    </row>
    <row r="90" spans="2:12" ht="33.75" customHeight="1">
      <c r="B90" s="72" t="s">
        <v>57</v>
      </c>
      <c r="C90" s="73"/>
      <c r="D90" s="73"/>
      <c r="E90" s="74"/>
      <c r="F90" s="32">
        <f>106654044.41</f>
        <v>106654044.41</v>
      </c>
      <c r="G90" s="32">
        <f>77293379.72</f>
        <v>77293379.72</v>
      </c>
      <c r="H90" s="32">
        <f>1457802</f>
        <v>1457802</v>
      </c>
      <c r="I90" s="32">
        <f>41482176</f>
        <v>41482176</v>
      </c>
      <c r="J90" s="32">
        <f>30936895.5</f>
        <v>30936895.5</v>
      </c>
      <c r="K90" s="32">
        <f>3416506.22</f>
        <v>3416506.22</v>
      </c>
      <c r="L90" s="32">
        <f>29360664.69</f>
        <v>29360664.69</v>
      </c>
    </row>
    <row r="91" spans="2:12" ht="22.5" customHeight="1">
      <c r="B91" s="72" t="s">
        <v>58</v>
      </c>
      <c r="C91" s="73"/>
      <c r="D91" s="73"/>
      <c r="E91" s="74"/>
      <c r="F91" s="32">
        <f>13477583.42</f>
        <v>13477583.42</v>
      </c>
      <c r="G91" s="32">
        <f>1083187</f>
        <v>1083187</v>
      </c>
      <c r="H91" s="32">
        <f>0</f>
        <v>0</v>
      </c>
      <c r="I91" s="32">
        <f>0</f>
        <v>0</v>
      </c>
      <c r="J91" s="32">
        <f>1083187</f>
        <v>1083187</v>
      </c>
      <c r="K91" s="32">
        <f>0</f>
        <v>0</v>
      </c>
      <c r="L91" s="32">
        <f>12394396.42</f>
        <v>12394396.42</v>
      </c>
    </row>
    <row r="92" spans="2:12" ht="33.75" customHeight="1">
      <c r="B92" s="72" t="s">
        <v>59</v>
      </c>
      <c r="C92" s="73"/>
      <c r="D92" s="73"/>
      <c r="E92" s="74"/>
      <c r="F92" s="32">
        <f>47623.31</f>
        <v>47623.31</v>
      </c>
      <c r="G92" s="32">
        <f>0</f>
        <v>0</v>
      </c>
      <c r="H92" s="32">
        <f>0</f>
        <v>0</v>
      </c>
      <c r="I92" s="32">
        <f>0</f>
        <v>0</v>
      </c>
      <c r="J92" s="32">
        <f>0</f>
        <v>0</v>
      </c>
      <c r="K92" s="32">
        <f>0</f>
        <v>0</v>
      </c>
      <c r="L92" s="32">
        <f>47623.31</f>
        <v>47623.31</v>
      </c>
    </row>
    <row r="93" spans="2:12" ht="33.75" customHeight="1">
      <c r="B93" s="72" t="s">
        <v>60</v>
      </c>
      <c r="C93" s="73"/>
      <c r="D93" s="73"/>
      <c r="E93" s="74"/>
      <c r="F93" s="32">
        <f>3233564.22</f>
        <v>3233564.22</v>
      </c>
      <c r="G93" s="32">
        <f>220670</f>
        <v>220670</v>
      </c>
      <c r="H93" s="32">
        <f>0</f>
        <v>0</v>
      </c>
      <c r="I93" s="32">
        <f>0</f>
        <v>0</v>
      </c>
      <c r="J93" s="32">
        <f>220670</f>
        <v>220670</v>
      </c>
      <c r="K93" s="32">
        <f>0</f>
        <v>0</v>
      </c>
      <c r="L93" s="32">
        <f>3012894.22</f>
        <v>3012894.22</v>
      </c>
    </row>
    <row r="94" spans="2:12" ht="22.5" customHeight="1">
      <c r="B94" s="72" t="s">
        <v>61</v>
      </c>
      <c r="C94" s="73"/>
      <c r="D94" s="73"/>
      <c r="E94" s="74"/>
      <c r="F94" s="32">
        <f>79000</f>
        <v>79000</v>
      </c>
      <c r="G94" s="32">
        <f>0</f>
        <v>0</v>
      </c>
      <c r="H94" s="32">
        <f>0</f>
        <v>0</v>
      </c>
      <c r="I94" s="32">
        <f>0</f>
        <v>0</v>
      </c>
      <c r="J94" s="32">
        <f>0</f>
        <v>0</v>
      </c>
      <c r="K94" s="32">
        <f>0</f>
        <v>0</v>
      </c>
      <c r="L94" s="32">
        <f>79000</f>
        <v>79000</v>
      </c>
    </row>
    <row r="97" spans="1:13" ht="75" customHeight="1">
      <c r="A97" s="50" t="s">
        <v>78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ht="13.5" customHeight="1">
      <c r="B98" s="4"/>
    </row>
    <row r="99" spans="2:11" ht="13.5" customHeight="1">
      <c r="B99" s="5"/>
      <c r="C99" s="61"/>
      <c r="D99" s="62"/>
      <c r="E99" s="62"/>
      <c r="F99" s="63"/>
      <c r="G99" s="61" t="s">
        <v>3</v>
      </c>
      <c r="H99" s="63"/>
      <c r="I99" s="61" t="s">
        <v>4</v>
      </c>
      <c r="J99" s="63"/>
      <c r="K99" s="5"/>
    </row>
    <row r="100" spans="2:11" ht="13.5" customHeight="1">
      <c r="B100" s="6"/>
      <c r="C100" s="69" t="s">
        <v>5</v>
      </c>
      <c r="D100" s="70"/>
      <c r="E100" s="70"/>
      <c r="F100" s="71"/>
      <c r="G100" s="65">
        <f>1922</f>
        <v>1922</v>
      </c>
      <c r="H100" s="66"/>
      <c r="I100" s="67">
        <f>6813913729.81</f>
        <v>6813913729.81</v>
      </c>
      <c r="J100" s="68"/>
      <c r="K100" s="7"/>
    </row>
    <row r="101" spans="2:11" ht="13.5" customHeight="1">
      <c r="B101" s="6"/>
      <c r="C101" s="72" t="s">
        <v>6</v>
      </c>
      <c r="D101" s="73"/>
      <c r="E101" s="73"/>
      <c r="F101" s="74"/>
      <c r="G101" s="75">
        <f>489</f>
        <v>489</v>
      </c>
      <c r="H101" s="76"/>
      <c r="I101" s="77">
        <f>-1440005736.86</f>
        <v>-1440005736.86</v>
      </c>
      <c r="J101" s="78"/>
      <c r="K101" s="7"/>
    </row>
    <row r="102" spans="2:11" ht="13.5" customHeight="1">
      <c r="B102" s="6"/>
      <c r="C102" s="69" t="s">
        <v>7</v>
      </c>
      <c r="D102" s="70"/>
      <c r="E102" s="70"/>
      <c r="F102" s="71"/>
      <c r="G102" s="65">
        <f>0</f>
        <v>0</v>
      </c>
      <c r="H102" s="66"/>
      <c r="I102" s="67">
        <f>0</f>
        <v>0</v>
      </c>
      <c r="J102" s="68"/>
      <c r="K102" s="7"/>
    </row>
  </sheetData>
  <sheetProtection/>
  <mergeCells count="79">
    <mergeCell ref="B43:N43"/>
    <mergeCell ref="B86:E86"/>
    <mergeCell ref="F87:L87"/>
    <mergeCell ref="L82:L85"/>
    <mergeCell ref="O6:Q6"/>
    <mergeCell ref="O7:O10"/>
    <mergeCell ref="A78:M78"/>
    <mergeCell ref="L39:L41"/>
    <mergeCell ref="P39:P41"/>
    <mergeCell ref="Q39:Q41"/>
    <mergeCell ref="N39:N41"/>
    <mergeCell ref="O39:O41"/>
    <mergeCell ref="D39:D41"/>
    <mergeCell ref="H7:H10"/>
    <mergeCell ref="B93:E93"/>
    <mergeCell ref="B89:E89"/>
    <mergeCell ref="M39:M41"/>
    <mergeCell ref="B88:E88"/>
    <mergeCell ref="F81:F85"/>
    <mergeCell ref="G82:G85"/>
    <mergeCell ref="I100:J100"/>
    <mergeCell ref="B79:M79"/>
    <mergeCell ref="I99:J99"/>
    <mergeCell ref="B87:E87"/>
    <mergeCell ref="B81:E85"/>
    <mergeCell ref="B94:E94"/>
    <mergeCell ref="A97:M97"/>
    <mergeCell ref="B90:E90"/>
    <mergeCell ref="B91:E91"/>
    <mergeCell ref="B92:E92"/>
    <mergeCell ref="G102:H102"/>
    <mergeCell ref="I102:J102"/>
    <mergeCell ref="C99:F99"/>
    <mergeCell ref="C100:F100"/>
    <mergeCell ref="C101:F101"/>
    <mergeCell ref="C102:F102"/>
    <mergeCell ref="G100:H100"/>
    <mergeCell ref="G99:H99"/>
    <mergeCell ref="G101:H101"/>
    <mergeCell ref="I101:J101"/>
    <mergeCell ref="G81:L81"/>
    <mergeCell ref="H82:H85"/>
    <mergeCell ref="I82:I85"/>
    <mergeCell ref="J82:J85"/>
    <mergeCell ref="A1:M1"/>
    <mergeCell ref="C5:M5"/>
    <mergeCell ref="A3:M3"/>
    <mergeCell ref="K7:K10"/>
    <mergeCell ref="C7:C10"/>
    <mergeCell ref="B38:B41"/>
    <mergeCell ref="B6:B10"/>
    <mergeCell ref="A6:A10"/>
    <mergeCell ref="C6:N6"/>
    <mergeCell ref="D7:D10"/>
    <mergeCell ref="E7:E10"/>
    <mergeCell ref="G7:G10"/>
    <mergeCell ref="F7:F10"/>
    <mergeCell ref="I7:I10"/>
    <mergeCell ref="J7:J10"/>
    <mergeCell ref="J39:J41"/>
    <mergeCell ref="Q7:Q10"/>
    <mergeCell ref="C38:N38"/>
    <mergeCell ref="L7:L10"/>
    <mergeCell ref="M7:M10"/>
    <mergeCell ref="N7:N10"/>
    <mergeCell ref="P7:P10"/>
    <mergeCell ref="A34:M34"/>
    <mergeCell ref="O38:Q38"/>
    <mergeCell ref="A36:M36"/>
    <mergeCell ref="B12:Q12"/>
    <mergeCell ref="A38:A41"/>
    <mergeCell ref="C39:C41"/>
    <mergeCell ref="E39:E41"/>
    <mergeCell ref="K82:K85"/>
    <mergeCell ref="F39:F41"/>
    <mergeCell ref="G39:G41"/>
    <mergeCell ref="H39:H41"/>
    <mergeCell ref="K39:K41"/>
    <mergeCell ref="I39:I41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33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2016-08-26T11:23:29Z</cp:lastPrinted>
  <dcterms:created xsi:type="dcterms:W3CDTF">2001-05-17T08:58:03Z</dcterms:created>
  <dcterms:modified xsi:type="dcterms:W3CDTF">2021-03-29T10:46:28Z</dcterms:modified>
  <cp:category/>
  <cp:version/>
  <cp:contentType/>
  <cp:contentStatus/>
</cp:coreProperties>
</file>