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fileSharing readOnlyRecommended="1"/>
  <workbookPr/>
  <bookViews>
    <workbookView xWindow="0" yWindow="0" windowWidth="28800" windowHeight="13425" activeTab="1"/>
  </bookViews>
  <sheets>
    <sheet name="TERC - &quot;nazwa woj&quot;" sheetId="7" r:id="rId1"/>
    <sheet name="pow podst" sheetId="3" r:id="rId2"/>
    <sheet name="gm podst" sheetId="5" r:id="rId3"/>
    <sheet name="pow rez" sheetId="4" r:id="rId4"/>
    <sheet name="gm rez" sheetId="6" r:id="rId5"/>
  </sheets>
  <definedNames>
    <definedName name="_xlnm._FilterDatabase" localSheetId="2" hidden="1">'gm podst'!$A$1:$X$68</definedName>
    <definedName name="_xlnm._FilterDatabase" localSheetId="4" hidden="1">'gm rez'!$A$2:$AB$2</definedName>
    <definedName name="_xlnm._FilterDatabase" localSheetId="1" hidden="1">'pow podst'!$A$1:$AA$17</definedName>
    <definedName name="_xlnm._FilterDatabase" localSheetId="3" hidden="1">'pow rez'!$A$2:$AD$6</definedName>
    <definedName name="_xlnm.Print_Area" localSheetId="2">'gm podst'!$A$1:$X$68</definedName>
    <definedName name="_xlnm.Print_Area" localSheetId="4">'gm rez'!$A$1:$X$30</definedName>
    <definedName name="_xlnm.Print_Area" localSheetId="1">'pow podst'!$A$1:$W$27</definedName>
    <definedName name="_xlnm.Print_Area" localSheetId="3">'pow rez'!$A$1:$W$14</definedName>
    <definedName name="_xlnm.Print_Area" localSheetId="0">'TERC - "nazwa woj"'!$A$1:$O$35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45621"/>
</workbook>
</file>

<file path=xl/calcChain.xml><?xml version="1.0" encoding="utf-8"?>
<calcChain xmlns="http://schemas.openxmlformats.org/spreadsheetml/2006/main">
  <c r="M16" i="7" l="1"/>
  <c r="O19" i="7"/>
  <c r="O18" i="7"/>
  <c r="O17" i="7"/>
  <c r="O16" i="7"/>
  <c r="N19" i="7"/>
  <c r="N18" i="7"/>
  <c r="N17" i="7"/>
  <c r="N16" i="7"/>
  <c r="M19" i="7"/>
  <c r="M18" i="7"/>
  <c r="M17" i="7"/>
  <c r="L19" i="7"/>
  <c r="L18" i="7"/>
  <c r="L17" i="7"/>
  <c r="K19" i="7"/>
  <c r="K18" i="7"/>
  <c r="K17" i="7"/>
  <c r="J19" i="7"/>
  <c r="J18" i="7"/>
  <c r="J17" i="7"/>
  <c r="L16" i="7"/>
  <c r="K16" i="7"/>
  <c r="J16" i="7"/>
  <c r="I19" i="7"/>
  <c r="I18" i="7"/>
  <c r="I17" i="7"/>
  <c r="I16" i="7"/>
  <c r="H19" i="7"/>
  <c r="H18" i="7"/>
  <c r="H17" i="7"/>
  <c r="H16" i="7"/>
  <c r="G19" i="7"/>
  <c r="G18" i="7"/>
  <c r="G17" i="7"/>
  <c r="G16" i="7"/>
  <c r="F19" i="7"/>
  <c r="F18" i="7"/>
  <c r="F17" i="7"/>
  <c r="F16" i="7"/>
  <c r="E19" i="7"/>
  <c r="E18" i="7"/>
  <c r="E17" i="7"/>
  <c r="E16" i="7"/>
  <c r="D19" i="7"/>
  <c r="D18" i="7"/>
  <c r="D17" i="7"/>
  <c r="D16" i="7"/>
  <c r="C19" i="7"/>
  <c r="C18" i="7"/>
  <c r="C17" i="7"/>
  <c r="C16" i="7"/>
  <c r="B19" i="7"/>
  <c r="B18" i="7"/>
  <c r="B17" i="7"/>
  <c r="B16" i="7"/>
  <c r="P60" i="5"/>
  <c r="M63" i="5"/>
  <c r="M62" i="5"/>
  <c r="M61" i="5"/>
  <c r="L63" i="5"/>
  <c r="L62" i="5"/>
  <c r="L61" i="5"/>
  <c r="K63" i="5"/>
  <c r="K62" i="5"/>
  <c r="K61" i="5"/>
  <c r="P63" i="5"/>
  <c r="Q63" i="5"/>
  <c r="R63" i="5"/>
  <c r="S63" i="5"/>
  <c r="T63" i="5"/>
  <c r="U63" i="5"/>
  <c r="V63" i="5"/>
  <c r="W63" i="5"/>
  <c r="X63" i="5"/>
  <c r="P62" i="5"/>
  <c r="Q62" i="5"/>
  <c r="R62" i="5"/>
  <c r="S62" i="5"/>
  <c r="T62" i="5"/>
  <c r="U62" i="5"/>
  <c r="V62" i="5"/>
  <c r="W62" i="5"/>
  <c r="X62" i="5"/>
  <c r="S61" i="5"/>
  <c r="T61" i="5"/>
  <c r="U61" i="5"/>
  <c r="V61" i="5"/>
  <c r="W61" i="5"/>
  <c r="X61" i="5"/>
  <c r="R61" i="5"/>
  <c r="Q61" i="5"/>
  <c r="P61" i="5"/>
  <c r="O63" i="5"/>
  <c r="O62" i="5"/>
  <c r="O61" i="5"/>
  <c r="Q60" i="5"/>
  <c r="R60" i="5"/>
  <c r="S60" i="5"/>
  <c r="T60" i="5"/>
  <c r="U60" i="5"/>
  <c r="V60" i="5"/>
  <c r="W60" i="5"/>
  <c r="X60" i="5"/>
  <c r="O60" i="5"/>
  <c r="L60" i="5"/>
  <c r="M60" i="5"/>
  <c r="K60" i="5"/>
  <c r="Y59" i="5"/>
  <c r="Z59" i="5"/>
  <c r="AA59" i="5" s="1"/>
  <c r="AB59" i="5"/>
  <c r="M59" i="5"/>
  <c r="I63" i="5"/>
  <c r="I62" i="5"/>
  <c r="I61" i="5"/>
  <c r="I60" i="5"/>
  <c r="L58" i="5"/>
  <c r="L39" i="5" l="1"/>
  <c r="L57" i="5" l="1"/>
  <c r="Z57" i="5" s="1"/>
  <c r="AA57" i="5" s="1"/>
  <c r="L56" i="5"/>
  <c r="L55" i="5"/>
  <c r="L54" i="5"/>
  <c r="Q54" i="5" s="1"/>
  <c r="Z56" i="5" l="1"/>
  <c r="AA56" i="5" s="1"/>
  <c r="M57" i="5"/>
  <c r="AB57" i="5" s="1"/>
  <c r="M56" i="5"/>
  <c r="AB56" i="5" s="1"/>
  <c r="Q57" i="5"/>
  <c r="Y57" i="5" s="1"/>
  <c r="Q56" i="5"/>
  <c r="Y56" i="5" s="1"/>
  <c r="M55" i="5"/>
  <c r="AB55" i="5" s="1"/>
  <c r="Q55" i="5"/>
  <c r="Y55" i="5" s="1"/>
  <c r="Z55" i="5"/>
  <c r="AA55" i="5" s="1"/>
  <c r="K16" i="3"/>
  <c r="L52" i="5" l="1"/>
  <c r="L51" i="5"/>
  <c r="Y5" i="5" l="1"/>
  <c r="Z5" i="5"/>
  <c r="AA5" i="5" s="1"/>
  <c r="Y54" i="5"/>
  <c r="Z54" i="5"/>
  <c r="AA54" i="5" s="1"/>
  <c r="Y3" i="5"/>
  <c r="Z3" i="5"/>
  <c r="AA3" i="5" s="1"/>
  <c r="H19" i="3" l="1"/>
  <c r="K23" i="6"/>
  <c r="I23" i="6"/>
  <c r="Q52" i="5" l="1"/>
  <c r="Z51" i="5" l="1"/>
  <c r="AA51" i="5" s="1"/>
  <c r="M52" i="5"/>
  <c r="AB52" i="5" s="1"/>
  <c r="Y52" i="5"/>
  <c r="Z52" i="5"/>
  <c r="AA52" i="5" s="1"/>
  <c r="M51" i="5"/>
  <c r="AB51" i="5" s="1"/>
  <c r="Q51" i="5"/>
  <c r="Y51" i="5" s="1"/>
  <c r="L53" i="5"/>
  <c r="Z53" i="5" l="1"/>
  <c r="AA53" i="5" s="1"/>
  <c r="Q53" i="5"/>
  <c r="Y53" i="5" s="1"/>
  <c r="M53" i="5"/>
  <c r="AB53" i="5" s="1"/>
  <c r="O26" i="7"/>
  <c r="N26" i="7"/>
  <c r="M26" i="7"/>
  <c r="L26" i="7"/>
  <c r="K26" i="7"/>
  <c r="J26" i="7"/>
  <c r="I26" i="7"/>
  <c r="H26" i="7"/>
  <c r="G26" i="7"/>
  <c r="F26" i="7"/>
  <c r="O25" i="7"/>
  <c r="N25" i="7"/>
  <c r="M25" i="7"/>
  <c r="L25" i="7"/>
  <c r="K25" i="7"/>
  <c r="J25" i="7"/>
  <c r="I25" i="7"/>
  <c r="I24" i="7"/>
  <c r="J24" i="7"/>
  <c r="K24" i="7"/>
  <c r="L24" i="7"/>
  <c r="M24" i="7"/>
  <c r="N24" i="7"/>
  <c r="O24" i="7"/>
  <c r="G24" i="7"/>
  <c r="F24" i="7"/>
  <c r="E26" i="7"/>
  <c r="D26" i="7"/>
  <c r="C26" i="7"/>
  <c r="P26" i="7" s="1"/>
  <c r="C25" i="7"/>
  <c r="C24" i="7"/>
  <c r="B26" i="7"/>
  <c r="B25" i="7"/>
  <c r="B24" i="7"/>
  <c r="R22" i="3"/>
  <c r="S22" i="3"/>
  <c r="T22" i="3"/>
  <c r="U22" i="3"/>
  <c r="V22" i="3"/>
  <c r="W22" i="3"/>
  <c r="R21" i="3"/>
  <c r="S21" i="3"/>
  <c r="T21" i="3"/>
  <c r="U21" i="3"/>
  <c r="V21" i="3"/>
  <c r="W21" i="3"/>
  <c r="R20" i="3"/>
  <c r="S20" i="3"/>
  <c r="T20" i="3"/>
  <c r="U20" i="3"/>
  <c r="V20" i="3"/>
  <c r="W20" i="3"/>
  <c r="R19" i="3"/>
  <c r="S19" i="3"/>
  <c r="T19" i="3"/>
  <c r="U19" i="3"/>
  <c r="V19" i="3"/>
  <c r="W19" i="3"/>
  <c r="H10" i="4"/>
  <c r="K10" i="4"/>
  <c r="L10" i="4"/>
  <c r="J10" i="4"/>
  <c r="Q10" i="4"/>
  <c r="R10" i="4"/>
  <c r="S10" i="4"/>
  <c r="T10" i="4"/>
  <c r="U10" i="4"/>
  <c r="V10" i="4"/>
  <c r="W10" i="4"/>
  <c r="N10" i="4"/>
  <c r="O10" i="4"/>
  <c r="P10" i="4"/>
  <c r="Q9" i="4"/>
  <c r="R9" i="4"/>
  <c r="S9" i="4"/>
  <c r="T9" i="4"/>
  <c r="U9" i="4"/>
  <c r="V9" i="4"/>
  <c r="W9" i="4"/>
  <c r="N9" i="4"/>
  <c r="O9" i="4"/>
  <c r="Q8" i="4"/>
  <c r="R8" i="4"/>
  <c r="S8" i="4"/>
  <c r="T8" i="4"/>
  <c r="U8" i="4"/>
  <c r="V8" i="4"/>
  <c r="W8" i="4"/>
  <c r="N8" i="4"/>
  <c r="O8" i="4"/>
  <c r="Q7" i="4"/>
  <c r="R7" i="4"/>
  <c r="S7" i="4"/>
  <c r="T7" i="4"/>
  <c r="U7" i="4"/>
  <c r="V7" i="4"/>
  <c r="W7" i="4"/>
  <c r="N7" i="4"/>
  <c r="O7" i="4"/>
  <c r="P9" i="4"/>
  <c r="L9" i="4"/>
  <c r="K9" i="4"/>
  <c r="J9" i="4"/>
  <c r="H9" i="4"/>
  <c r="J8" i="4"/>
  <c r="H8" i="4"/>
  <c r="J7" i="4"/>
  <c r="H7" i="4"/>
  <c r="K6" i="4"/>
  <c r="P6" i="4" s="1"/>
  <c r="K5" i="4"/>
  <c r="K4" i="4"/>
  <c r="K3" i="4"/>
  <c r="X17" i="3"/>
  <c r="O22" i="3"/>
  <c r="J22" i="3"/>
  <c r="H22" i="3"/>
  <c r="Q21" i="3"/>
  <c r="O21" i="3"/>
  <c r="J21" i="3"/>
  <c r="H21" i="3"/>
  <c r="Q20" i="3"/>
  <c r="P20" i="3"/>
  <c r="O20" i="3"/>
  <c r="J20" i="3"/>
  <c r="H20" i="3"/>
  <c r="O19" i="3"/>
  <c r="J19" i="3"/>
  <c r="L17" i="3"/>
  <c r="AA17" i="3" s="1"/>
  <c r="Y16" i="3"/>
  <c r="Z16" i="3" s="1"/>
  <c r="K15" i="3"/>
  <c r="K14" i="3"/>
  <c r="L14" i="3" s="1"/>
  <c r="K13" i="3"/>
  <c r="K12" i="3"/>
  <c r="L12" i="3" s="1"/>
  <c r="P22" i="3"/>
  <c r="K11" i="3"/>
  <c r="L11" i="3" s="1"/>
  <c r="K10" i="3"/>
  <c r="K9" i="3"/>
  <c r="Y9" i="3" s="1"/>
  <c r="Z9" i="3" s="1"/>
  <c r="K8" i="3"/>
  <c r="Y8" i="3" s="1"/>
  <c r="Z8" i="3" s="1"/>
  <c r="K7" i="3"/>
  <c r="K6" i="3"/>
  <c r="Y6" i="3" s="1"/>
  <c r="Z6" i="3" s="1"/>
  <c r="K5" i="3"/>
  <c r="L5" i="3" s="1"/>
  <c r="AA5" i="3" s="1"/>
  <c r="K4" i="3"/>
  <c r="Y4" i="3" s="1"/>
  <c r="Z4" i="3" s="1"/>
  <c r="K3" i="3"/>
  <c r="Y3" i="3" s="1"/>
  <c r="Z3" i="3" s="1"/>
  <c r="Y17" i="3"/>
  <c r="Z17" i="3" s="1"/>
  <c r="K20" i="3"/>
  <c r="L10" i="3"/>
  <c r="AA10" i="3" s="1"/>
  <c r="P5" i="3"/>
  <c r="X5" i="3" s="1"/>
  <c r="L4" i="4"/>
  <c r="Y10" i="3"/>
  <c r="Z10" i="3" s="1"/>
  <c r="Y11" i="3"/>
  <c r="Z11" i="3" s="1"/>
  <c r="Y5" i="3"/>
  <c r="Z5" i="3" s="1"/>
  <c r="P10" i="3"/>
  <c r="X10" i="3" s="1"/>
  <c r="M3" i="5"/>
  <c r="O29" i="7"/>
  <c r="N29" i="7"/>
  <c r="M29" i="7"/>
  <c r="L29" i="7"/>
  <c r="K29" i="7"/>
  <c r="O28" i="7"/>
  <c r="N28" i="7"/>
  <c r="M28" i="7"/>
  <c r="L28" i="7"/>
  <c r="L31" i="7" s="1"/>
  <c r="K28" i="7"/>
  <c r="G25" i="7"/>
  <c r="F25" i="7"/>
  <c r="O15" i="7"/>
  <c r="O14" i="7"/>
  <c r="O13" i="7"/>
  <c r="N15" i="7"/>
  <c r="N14" i="7"/>
  <c r="N13" i="7"/>
  <c r="N21" i="7" s="1"/>
  <c r="M15" i="7"/>
  <c r="M14" i="7"/>
  <c r="M22" i="7" s="1"/>
  <c r="M13" i="7"/>
  <c r="L15" i="7"/>
  <c r="L14" i="7"/>
  <c r="L13" i="7"/>
  <c r="K15" i="7"/>
  <c r="K14" i="7"/>
  <c r="K13" i="7"/>
  <c r="J15" i="7"/>
  <c r="J14" i="7"/>
  <c r="J13" i="7"/>
  <c r="F15" i="7"/>
  <c r="F14" i="7"/>
  <c r="G13" i="7"/>
  <c r="H13" i="7"/>
  <c r="I13" i="7"/>
  <c r="I21" i="7" s="1"/>
  <c r="G14" i="7"/>
  <c r="I14" i="7"/>
  <c r="G12" i="7"/>
  <c r="J12" i="7"/>
  <c r="K12" i="7"/>
  <c r="L12" i="7"/>
  <c r="M12" i="7"/>
  <c r="N12" i="7"/>
  <c r="O12" i="7"/>
  <c r="F13" i="7"/>
  <c r="F12" i="7"/>
  <c r="C15" i="7"/>
  <c r="C14" i="7"/>
  <c r="C13" i="7"/>
  <c r="C12" i="7"/>
  <c r="M54" i="5"/>
  <c r="AB54" i="5" s="1"/>
  <c r="L22" i="6"/>
  <c r="M22" i="6" s="1"/>
  <c r="S23" i="6"/>
  <c r="T23" i="6"/>
  <c r="U23" i="6"/>
  <c r="V23" i="6"/>
  <c r="W23" i="6"/>
  <c r="X23" i="6"/>
  <c r="B15" i="7"/>
  <c r="B14" i="7"/>
  <c r="B13" i="7"/>
  <c r="G15" i="7"/>
  <c r="L50" i="5"/>
  <c r="L49" i="5"/>
  <c r="L48" i="5"/>
  <c r="L47" i="5"/>
  <c r="J29" i="7"/>
  <c r="J32" i="7" s="1"/>
  <c r="J28" i="7"/>
  <c r="J31" i="7" s="1"/>
  <c r="J27" i="7"/>
  <c r="K27" i="7"/>
  <c r="L27" i="7"/>
  <c r="M27" i="7"/>
  <c r="N27" i="7"/>
  <c r="O27" i="7"/>
  <c r="I28" i="7"/>
  <c r="G29" i="7"/>
  <c r="G28" i="7"/>
  <c r="G31" i="7" s="1"/>
  <c r="G27" i="7"/>
  <c r="F29" i="7"/>
  <c r="F32" i="7" s="1"/>
  <c r="F28" i="7"/>
  <c r="F27" i="7"/>
  <c r="F30" i="7" s="1"/>
  <c r="C29" i="7"/>
  <c r="C28" i="7"/>
  <c r="C27" i="7"/>
  <c r="B28" i="7"/>
  <c r="B27" i="7"/>
  <c r="O23" i="6"/>
  <c r="P23" i="6"/>
  <c r="O26" i="6"/>
  <c r="P26" i="6"/>
  <c r="O25" i="6"/>
  <c r="P25" i="6"/>
  <c r="R25" i="6"/>
  <c r="L24" i="6"/>
  <c r="M24" i="6"/>
  <c r="O24" i="6"/>
  <c r="P24" i="6"/>
  <c r="Q24" i="6"/>
  <c r="R24" i="6"/>
  <c r="K25" i="6"/>
  <c r="K24" i="6"/>
  <c r="K26" i="6"/>
  <c r="B30" i="7"/>
  <c r="H15" i="7"/>
  <c r="B29" i="7"/>
  <c r="I24" i="6"/>
  <c r="I26" i="6"/>
  <c r="I25" i="6"/>
  <c r="L46" i="5"/>
  <c r="L45" i="5"/>
  <c r="Q12" i="5"/>
  <c r="E13" i="7"/>
  <c r="L43" i="5"/>
  <c r="R10" i="6"/>
  <c r="I27" i="7" s="1"/>
  <c r="I30" i="7" s="1"/>
  <c r="Q10" i="6"/>
  <c r="H29" i="7" s="1"/>
  <c r="H32" i="7" s="1"/>
  <c r="Q3" i="6"/>
  <c r="Y3" i="6" s="1"/>
  <c r="L8" i="6"/>
  <c r="L9" i="6"/>
  <c r="L10" i="6"/>
  <c r="L11" i="6"/>
  <c r="Q11" i="6" s="1"/>
  <c r="L12" i="6"/>
  <c r="M12" i="6" s="1"/>
  <c r="L13" i="6"/>
  <c r="M13" i="6" s="1"/>
  <c r="L17" i="6"/>
  <c r="L16" i="6"/>
  <c r="Q16" i="6" s="1"/>
  <c r="L15" i="6"/>
  <c r="L18" i="6"/>
  <c r="Q18" i="6" s="1"/>
  <c r="L14" i="6"/>
  <c r="L19" i="6"/>
  <c r="M19" i="6" s="1"/>
  <c r="L20" i="6"/>
  <c r="L21" i="6"/>
  <c r="M21" i="6" s="1"/>
  <c r="Q5" i="6"/>
  <c r="L4" i="5"/>
  <c r="Q39" i="5"/>
  <c r="L44" i="5"/>
  <c r="L40" i="5"/>
  <c r="L38" i="5"/>
  <c r="L36" i="5"/>
  <c r="L41" i="5"/>
  <c r="L42" i="5"/>
  <c r="L29" i="5"/>
  <c r="L31" i="5"/>
  <c r="L30" i="5"/>
  <c r="L35" i="5"/>
  <c r="L33" i="5"/>
  <c r="Q33" i="5" s="1"/>
  <c r="L34" i="5"/>
  <c r="L32" i="5"/>
  <c r="L37" i="5"/>
  <c r="Q15" i="5"/>
  <c r="R6" i="5"/>
  <c r="Q6" i="5"/>
  <c r="L6" i="5"/>
  <c r="L7" i="5"/>
  <c r="L9" i="5"/>
  <c r="L8" i="5"/>
  <c r="M8" i="5" s="1"/>
  <c r="L10" i="5"/>
  <c r="L11" i="5"/>
  <c r="Q11" i="5" s="1"/>
  <c r="L12" i="5"/>
  <c r="L13" i="5"/>
  <c r="L15" i="5"/>
  <c r="L14" i="5"/>
  <c r="L16" i="5"/>
  <c r="L17" i="5"/>
  <c r="L19" i="5"/>
  <c r="L18" i="5"/>
  <c r="M18" i="5" s="1"/>
  <c r="L20" i="5"/>
  <c r="L21" i="5"/>
  <c r="L24" i="5"/>
  <c r="M24" i="5" s="1"/>
  <c r="L22" i="5"/>
  <c r="L23" i="5"/>
  <c r="L25" i="5"/>
  <c r="L26" i="5"/>
  <c r="L27" i="5"/>
  <c r="L28" i="5"/>
  <c r="M5" i="5"/>
  <c r="AB5" i="5" s="1"/>
  <c r="N32" i="7"/>
  <c r="X26" i="6"/>
  <c r="W26" i="6"/>
  <c r="V26" i="6"/>
  <c r="U26" i="6"/>
  <c r="T26" i="6"/>
  <c r="S26" i="6"/>
  <c r="X24" i="6"/>
  <c r="W24" i="6"/>
  <c r="V24" i="6"/>
  <c r="U24" i="6"/>
  <c r="T24" i="6"/>
  <c r="T25" i="6" s="1"/>
  <c r="S24" i="6"/>
  <c r="G30" i="7"/>
  <c r="L22" i="3" l="1"/>
  <c r="D15" i="7"/>
  <c r="AA11" i="3"/>
  <c r="K22" i="3"/>
  <c r="Y22" i="3" s="1"/>
  <c r="E15" i="7"/>
  <c r="E23" i="7" s="1"/>
  <c r="V25" i="6"/>
  <c r="L30" i="7"/>
  <c r="P14" i="3"/>
  <c r="X14" i="3" s="1"/>
  <c r="Q13" i="6"/>
  <c r="I29" i="7"/>
  <c r="W25" i="6"/>
  <c r="K30" i="7"/>
  <c r="J30" i="7"/>
  <c r="M32" i="7"/>
  <c r="Z24" i="6"/>
  <c r="H23" i="7"/>
  <c r="H35" i="7" s="1"/>
  <c r="Z63" i="5"/>
  <c r="AB3" i="5"/>
  <c r="M4" i="5"/>
  <c r="M31" i="7"/>
  <c r="M34" i="7" s="1"/>
  <c r="L32" i="7"/>
  <c r="AB24" i="6"/>
  <c r="O22" i="7"/>
  <c r="B21" i="7"/>
  <c r="F21" i="7"/>
  <c r="O31" i="7"/>
  <c r="G21" i="7"/>
  <c r="L22" i="7"/>
  <c r="L34" i="7" s="1"/>
  <c r="P6" i="3"/>
  <c r="X6" i="3" s="1"/>
  <c r="L6" i="3"/>
  <c r="AA6" i="3" s="1"/>
  <c r="P13" i="3"/>
  <c r="X13" i="3" s="1"/>
  <c r="Q12" i="6"/>
  <c r="Y12" i="6" s="1"/>
  <c r="K32" i="7"/>
  <c r="C21" i="7"/>
  <c r="J23" i="7"/>
  <c r="J35" i="7" s="1"/>
  <c r="N23" i="7"/>
  <c r="N35" i="7" s="1"/>
  <c r="L4" i="3"/>
  <c r="AA4" i="3" s="1"/>
  <c r="L13" i="3"/>
  <c r="AA13" i="3" s="1"/>
  <c r="B31" i="7"/>
  <c r="G32" i="7"/>
  <c r="O32" i="7"/>
  <c r="R23" i="6"/>
  <c r="F31" i="7"/>
  <c r="C23" i="7"/>
  <c r="G23" i="7"/>
  <c r="K20" i="7"/>
  <c r="M20" i="7"/>
  <c r="P8" i="3"/>
  <c r="X8" i="3" s="1"/>
  <c r="H21" i="7"/>
  <c r="K21" i="7"/>
  <c r="Y14" i="3"/>
  <c r="Z14" i="3" s="1"/>
  <c r="AA9" i="4"/>
  <c r="N31" i="7"/>
  <c r="P4" i="3"/>
  <c r="X4" i="3" s="1"/>
  <c r="F20" i="7"/>
  <c r="F33" i="7" s="1"/>
  <c r="G22" i="7"/>
  <c r="G34" i="7" s="1"/>
  <c r="G20" i="7"/>
  <c r="G33" i="7" s="1"/>
  <c r="J22" i="7"/>
  <c r="J34" i="7" s="1"/>
  <c r="Y6" i="5"/>
  <c r="Z6" i="5"/>
  <c r="AA6" i="5" s="1"/>
  <c r="Z21" i="5"/>
  <c r="AA21" i="5" s="1"/>
  <c r="Z30" i="5"/>
  <c r="AA30" i="5" s="1"/>
  <c r="Q22" i="6"/>
  <c r="Y22" i="6" s="1"/>
  <c r="Z22" i="6"/>
  <c r="AA22" i="6" s="1"/>
  <c r="AB22" i="6"/>
  <c r="Q23" i="5"/>
  <c r="Y23" i="5" s="1"/>
  <c r="Z23" i="5"/>
  <c r="AA23" i="5" s="1"/>
  <c r="Z16" i="5"/>
  <c r="AA16" i="5" s="1"/>
  <c r="M9" i="5"/>
  <c r="AB9" i="5" s="1"/>
  <c r="Z9" i="5"/>
  <c r="AA9" i="5" s="1"/>
  <c r="Q34" i="5"/>
  <c r="Y34" i="5" s="1"/>
  <c r="Z34" i="5"/>
  <c r="AA34" i="5" s="1"/>
  <c r="Q36" i="5"/>
  <c r="Y36" i="5" s="1"/>
  <c r="Z36" i="5"/>
  <c r="AA36" i="5" s="1"/>
  <c r="Z21" i="6"/>
  <c r="AA21" i="6" s="1"/>
  <c r="AB21" i="6"/>
  <c r="Y13" i="6"/>
  <c r="Z13" i="6"/>
  <c r="AA13" i="6" s="1"/>
  <c r="AB13" i="6"/>
  <c r="Z5" i="6"/>
  <c r="AA5" i="6" s="1"/>
  <c r="Y5" i="6"/>
  <c r="Z45" i="5"/>
  <c r="AA45" i="5" s="1"/>
  <c r="I31" i="7"/>
  <c r="Z50" i="5"/>
  <c r="AA50" i="5" s="1"/>
  <c r="C20" i="7"/>
  <c r="L21" i="7"/>
  <c r="P7" i="3"/>
  <c r="X7" i="3" s="1"/>
  <c r="Y7" i="3"/>
  <c r="Z7" i="3" s="1"/>
  <c r="L8" i="3"/>
  <c r="AA8" i="3" s="1"/>
  <c r="K7" i="4"/>
  <c r="Q24" i="5"/>
  <c r="Y24" i="5" s="1"/>
  <c r="Z24" i="5"/>
  <c r="AA24" i="5" s="1"/>
  <c r="AB24" i="5"/>
  <c r="Z40" i="5"/>
  <c r="AA40" i="5" s="1"/>
  <c r="Z19" i="6"/>
  <c r="AA19" i="6" s="1"/>
  <c r="AB19" i="6"/>
  <c r="Z4" i="6"/>
  <c r="AA4" i="6" s="1"/>
  <c r="M22" i="5"/>
  <c r="AB22" i="5" s="1"/>
  <c r="Z22" i="5"/>
  <c r="AA22" i="5" s="1"/>
  <c r="M14" i="5"/>
  <c r="AB14" i="5" s="1"/>
  <c r="Z14" i="5"/>
  <c r="AA14" i="5" s="1"/>
  <c r="Z7" i="5"/>
  <c r="AA7" i="5" s="1"/>
  <c r="M33" i="5"/>
  <c r="AB33" i="5" s="1"/>
  <c r="Z33" i="5"/>
  <c r="AA33" i="5" s="1"/>
  <c r="Y33" i="5"/>
  <c r="Z38" i="5"/>
  <c r="AA38" i="5" s="1"/>
  <c r="AB4" i="6"/>
  <c r="Z20" i="6"/>
  <c r="AA20" i="6" s="1"/>
  <c r="AB12" i="6"/>
  <c r="Z12" i="6"/>
  <c r="AA12" i="6" s="1"/>
  <c r="L23" i="6"/>
  <c r="Z23" i="6" s="1"/>
  <c r="Z46" i="5"/>
  <c r="AA46" i="5" s="1"/>
  <c r="Y24" i="6"/>
  <c r="O30" i="7"/>
  <c r="L23" i="7"/>
  <c r="C22" i="7"/>
  <c r="N22" i="7"/>
  <c r="N34" i="7" s="1"/>
  <c r="L3" i="4"/>
  <c r="AA3" i="4" s="1"/>
  <c r="P3" i="4"/>
  <c r="X3" i="4" s="1"/>
  <c r="M38" i="5"/>
  <c r="AB38" i="5" s="1"/>
  <c r="M28" i="5"/>
  <c r="AB28" i="5" s="1"/>
  <c r="Z28" i="5"/>
  <c r="AA28" i="5" s="1"/>
  <c r="Z20" i="5"/>
  <c r="AA20" i="5" s="1"/>
  <c r="Z12" i="5"/>
  <c r="AA12" i="5" s="1"/>
  <c r="Q31" i="5"/>
  <c r="Y31" i="5" s="1"/>
  <c r="Z31" i="5"/>
  <c r="AA31" i="5" s="1"/>
  <c r="Q19" i="6"/>
  <c r="Y19" i="6" s="1"/>
  <c r="M20" i="6"/>
  <c r="AB20" i="6" s="1"/>
  <c r="M18" i="6"/>
  <c r="AB18" i="6" s="1"/>
  <c r="Z18" i="6"/>
  <c r="AA18" i="6" s="1"/>
  <c r="Y18" i="6"/>
  <c r="M9" i="6"/>
  <c r="AB9" i="6" s="1"/>
  <c r="Z9" i="6"/>
  <c r="AA9" i="6" s="1"/>
  <c r="L7" i="3"/>
  <c r="AA7" i="3" s="1"/>
  <c r="L3" i="3"/>
  <c r="D13" i="7" s="1"/>
  <c r="P13" i="7" s="1"/>
  <c r="K19" i="3"/>
  <c r="Y19" i="3" s="1"/>
  <c r="E25" i="7"/>
  <c r="Y5" i="4"/>
  <c r="X10" i="4"/>
  <c r="M35" i="5"/>
  <c r="AB35" i="5" s="1"/>
  <c r="Z35" i="5"/>
  <c r="AA35" i="5" s="1"/>
  <c r="Q35" i="5"/>
  <c r="Y35" i="5" s="1"/>
  <c r="Y10" i="6"/>
  <c r="Z10" i="6"/>
  <c r="AA10" i="6" s="1"/>
  <c r="Y3" i="4"/>
  <c r="P4" i="4"/>
  <c r="X4" i="4" s="1"/>
  <c r="Y4" i="4"/>
  <c r="AA4" i="4"/>
  <c r="M27" i="5"/>
  <c r="AB27" i="5" s="1"/>
  <c r="Z27" i="5"/>
  <c r="AA27" i="5" s="1"/>
  <c r="Q18" i="5"/>
  <c r="Y18" i="5" s="1"/>
  <c r="AB18" i="5"/>
  <c r="Z18" i="5"/>
  <c r="AA18" i="5" s="1"/>
  <c r="Y11" i="5"/>
  <c r="Z11" i="5"/>
  <c r="AA11" i="5" s="1"/>
  <c r="M29" i="5"/>
  <c r="AB29" i="5" s="1"/>
  <c r="Z29" i="5"/>
  <c r="AA29" i="5" s="1"/>
  <c r="M39" i="5"/>
  <c r="AB39" i="5" s="1"/>
  <c r="Y39" i="5"/>
  <c r="Z39" i="5"/>
  <c r="AA39" i="5" s="1"/>
  <c r="Z3" i="6"/>
  <c r="AA3" i="6" s="1"/>
  <c r="Q26" i="6"/>
  <c r="Q15" i="6"/>
  <c r="Y15" i="6" s="1"/>
  <c r="Z15" i="6"/>
  <c r="AA15" i="6" s="1"/>
  <c r="Z8" i="6"/>
  <c r="AA8" i="6" s="1"/>
  <c r="Z43" i="5"/>
  <c r="AA43" i="5" s="1"/>
  <c r="Q47" i="5"/>
  <c r="Y47" i="5" s="1"/>
  <c r="Z47" i="5"/>
  <c r="AA47" i="5" s="1"/>
  <c r="K22" i="7"/>
  <c r="L9" i="3"/>
  <c r="AA9" i="3" s="1"/>
  <c r="Z11" i="6"/>
  <c r="AA11" i="6" s="1"/>
  <c r="Y11" i="6"/>
  <c r="S25" i="6"/>
  <c r="M13" i="5"/>
  <c r="AB13" i="5" s="1"/>
  <c r="Z13" i="5"/>
  <c r="AA13" i="5" s="1"/>
  <c r="M6" i="5"/>
  <c r="M34" i="5"/>
  <c r="AB34" i="5" s="1"/>
  <c r="Q26" i="5"/>
  <c r="Y26" i="5" s="1"/>
  <c r="Z26" i="5"/>
  <c r="AA26" i="5" s="1"/>
  <c r="Z19" i="5"/>
  <c r="AA19" i="5" s="1"/>
  <c r="M10" i="5"/>
  <c r="AB10" i="5" s="1"/>
  <c r="Z10" i="5"/>
  <c r="AA10" i="5" s="1"/>
  <c r="Q37" i="5"/>
  <c r="Y37" i="5" s="1"/>
  <c r="Z37" i="5"/>
  <c r="AA37" i="5" s="1"/>
  <c r="Q42" i="5"/>
  <c r="Y42" i="5" s="1"/>
  <c r="Z42" i="5"/>
  <c r="AA42" i="5" s="1"/>
  <c r="E21" i="7"/>
  <c r="Y4" i="5"/>
  <c r="Z4" i="5"/>
  <c r="AA4" i="5" s="1"/>
  <c r="AB5" i="6"/>
  <c r="Y16" i="6"/>
  <c r="Z16" i="6"/>
  <c r="AA16" i="6" s="1"/>
  <c r="Z7" i="6"/>
  <c r="AA7" i="6" s="1"/>
  <c r="B32" i="7"/>
  <c r="M48" i="5"/>
  <c r="AB48" i="5" s="1"/>
  <c r="Z48" i="5"/>
  <c r="AA48" i="5" s="1"/>
  <c r="B22" i="7"/>
  <c r="F22" i="7"/>
  <c r="K23" i="7"/>
  <c r="K35" i="7" s="1"/>
  <c r="M23" i="7"/>
  <c r="AA14" i="3"/>
  <c r="X6" i="4"/>
  <c r="Y6" i="4"/>
  <c r="Z15" i="5"/>
  <c r="AA15" i="5" s="1"/>
  <c r="Q44" i="5"/>
  <c r="Y44" i="5" s="1"/>
  <c r="Z44" i="5"/>
  <c r="AA44" i="5" s="1"/>
  <c r="M14" i="6"/>
  <c r="AB14" i="6" s="1"/>
  <c r="Z14" i="6"/>
  <c r="AA14" i="6" s="1"/>
  <c r="M36" i="5"/>
  <c r="AB36" i="5" s="1"/>
  <c r="M25" i="5"/>
  <c r="AB25" i="5" s="1"/>
  <c r="Z25" i="5"/>
  <c r="AA25" i="5" s="1"/>
  <c r="Z17" i="5"/>
  <c r="AA17" i="5" s="1"/>
  <c r="Q8" i="5"/>
  <c r="Y8" i="5" s="1"/>
  <c r="Z8" i="5"/>
  <c r="AA8" i="5" s="1"/>
  <c r="AB8" i="5"/>
  <c r="Z32" i="5"/>
  <c r="AA32" i="5" s="1"/>
  <c r="Z41" i="5"/>
  <c r="AA41" i="5" s="1"/>
  <c r="Q4" i="6"/>
  <c r="Q20" i="6"/>
  <c r="Y20" i="6" s="1"/>
  <c r="M11" i="6"/>
  <c r="AB11" i="6" s="1"/>
  <c r="Z17" i="6"/>
  <c r="AA17" i="6" s="1"/>
  <c r="Z6" i="6"/>
  <c r="AA6" i="6" s="1"/>
  <c r="AB6" i="6"/>
  <c r="M49" i="5"/>
  <c r="AB49" i="5" s="1"/>
  <c r="Z49" i="5"/>
  <c r="AA49" i="5" s="1"/>
  <c r="B23" i="7"/>
  <c r="B35" i="7" s="1"/>
  <c r="F23" i="7"/>
  <c r="F35" i="7" s="1"/>
  <c r="L20" i="7"/>
  <c r="N20" i="7"/>
  <c r="AA22" i="3"/>
  <c r="Q22" i="5"/>
  <c r="Y22" i="5" s="1"/>
  <c r="Q7" i="5"/>
  <c r="M7" i="5"/>
  <c r="AB7" i="5" s="1"/>
  <c r="Q14" i="5"/>
  <c r="Y14" i="5" s="1"/>
  <c r="O20" i="7"/>
  <c r="O33" i="7" s="1"/>
  <c r="Q28" i="5"/>
  <c r="Y28" i="5" s="1"/>
  <c r="Q38" i="5"/>
  <c r="Y38" i="5" s="1"/>
  <c r="M16" i="5"/>
  <c r="AB16" i="5" s="1"/>
  <c r="J21" i="7"/>
  <c r="M21" i="7"/>
  <c r="M15" i="5"/>
  <c r="M20" i="5"/>
  <c r="AB20" i="5" s="1"/>
  <c r="Q40" i="5"/>
  <c r="Y40" i="5" s="1"/>
  <c r="Q48" i="5"/>
  <c r="Y48" i="5" s="1"/>
  <c r="Q20" i="5"/>
  <c r="Y20" i="5" s="1"/>
  <c r="M12" i="5"/>
  <c r="AB12" i="5" s="1"/>
  <c r="M11" i="5"/>
  <c r="AB11" i="5" s="1"/>
  <c r="Q29" i="5"/>
  <c r="Y29" i="5" s="1"/>
  <c r="Q41" i="5"/>
  <c r="Y41" i="5" s="1"/>
  <c r="R15" i="5"/>
  <c r="Y15" i="5" s="1"/>
  <c r="M47" i="5"/>
  <c r="AB47" i="5" s="1"/>
  <c r="M31" i="5"/>
  <c r="AB31" i="5" s="1"/>
  <c r="M44" i="5"/>
  <c r="AB44" i="5" s="1"/>
  <c r="M30" i="5"/>
  <c r="AB30" i="5" s="1"/>
  <c r="N30" i="7"/>
  <c r="K31" i="7"/>
  <c r="Q9" i="6"/>
  <c r="Y9" i="6" s="1"/>
  <c r="U25" i="6"/>
  <c r="Q14" i="6"/>
  <c r="Y14" i="6" s="1"/>
  <c r="Q21" i="6"/>
  <c r="Y21" i="6" s="1"/>
  <c r="E29" i="7"/>
  <c r="E32" i="7" s="1"/>
  <c r="M30" i="7"/>
  <c r="L26" i="6"/>
  <c r="Z26" i="6" s="1"/>
  <c r="X25" i="6"/>
  <c r="M10" i="6"/>
  <c r="AB10" i="6" s="1"/>
  <c r="J20" i="7"/>
  <c r="Q21" i="5"/>
  <c r="Y21" i="5" s="1"/>
  <c r="M21" i="5"/>
  <c r="AB21" i="5" s="1"/>
  <c r="M50" i="5"/>
  <c r="AB50" i="5" s="1"/>
  <c r="M46" i="5"/>
  <c r="AB46" i="5" s="1"/>
  <c r="Q50" i="5"/>
  <c r="Y50" i="5" s="1"/>
  <c r="I22" i="7"/>
  <c r="I34" i="7" s="1"/>
  <c r="Q49" i="5"/>
  <c r="Y49" i="5" s="1"/>
  <c r="Q13" i="5"/>
  <c r="Y13" i="5" s="1"/>
  <c r="Q46" i="5"/>
  <c r="Y46" i="5" s="1"/>
  <c r="Q30" i="5"/>
  <c r="Y30" i="5" s="1"/>
  <c r="M40" i="5"/>
  <c r="AB40" i="5" s="1"/>
  <c r="Q27" i="5"/>
  <c r="Y27" i="5" s="1"/>
  <c r="Q10" i="5"/>
  <c r="Y10" i="5" s="1"/>
  <c r="M37" i="5"/>
  <c r="AB37" i="5" s="1"/>
  <c r="I32" i="7"/>
  <c r="Q26" i="7"/>
  <c r="Q32" i="5"/>
  <c r="Y32" i="5" s="1"/>
  <c r="AA10" i="4"/>
  <c r="Y10" i="4"/>
  <c r="C31" i="7"/>
  <c r="Y15" i="3"/>
  <c r="Z15" i="3" s="1"/>
  <c r="L15" i="3"/>
  <c r="AA15" i="3" s="1"/>
  <c r="P15" i="3"/>
  <c r="X15" i="3" s="1"/>
  <c r="Y20" i="3"/>
  <c r="M45" i="5"/>
  <c r="AB45" i="5" s="1"/>
  <c r="Q45" i="5"/>
  <c r="Y45" i="5" s="1"/>
  <c r="C30" i="7"/>
  <c r="M17" i="5"/>
  <c r="AB17" i="5" s="1"/>
  <c r="Q17" i="5"/>
  <c r="Y17" i="5" s="1"/>
  <c r="Q25" i="5"/>
  <c r="Y25" i="5" s="1"/>
  <c r="M16" i="6"/>
  <c r="AB16" i="6" s="1"/>
  <c r="M8" i="6"/>
  <c r="AB8" i="6" s="1"/>
  <c r="Q8" i="6"/>
  <c r="Y8" i="6" s="1"/>
  <c r="Q43" i="5"/>
  <c r="Y43" i="5" s="1"/>
  <c r="M43" i="5"/>
  <c r="AB43" i="5" s="1"/>
  <c r="L16" i="3"/>
  <c r="AA16" i="3" s="1"/>
  <c r="X20" i="3"/>
  <c r="M26" i="5"/>
  <c r="AB26" i="5" s="1"/>
  <c r="M17" i="6"/>
  <c r="AB17" i="6" s="1"/>
  <c r="Q17" i="6"/>
  <c r="Y17" i="6" s="1"/>
  <c r="Q7" i="6"/>
  <c r="Y7" i="6" s="1"/>
  <c r="M19" i="5"/>
  <c r="Q19" i="5"/>
  <c r="M42" i="5"/>
  <c r="AB42" i="5" s="1"/>
  <c r="C32" i="7"/>
  <c r="P5" i="4"/>
  <c r="X5" i="4" s="1"/>
  <c r="L5" i="4"/>
  <c r="K8" i="4"/>
  <c r="M41" i="5"/>
  <c r="AB41" i="5" s="1"/>
  <c r="X9" i="4"/>
  <c r="Y9" i="4"/>
  <c r="M32" i="5"/>
  <c r="AB32" i="5" s="1"/>
  <c r="E28" i="7"/>
  <c r="P16" i="3"/>
  <c r="X16" i="3" s="1"/>
  <c r="E24" i="7"/>
  <c r="I12" i="7"/>
  <c r="I15" i="7"/>
  <c r="X11" i="3"/>
  <c r="Q19" i="3"/>
  <c r="Q22" i="3"/>
  <c r="X22" i="3" s="1"/>
  <c r="Y7" i="4"/>
  <c r="R12" i="5"/>
  <c r="Y12" i="5" s="1"/>
  <c r="E14" i="7"/>
  <c r="E12" i="7"/>
  <c r="P12" i="3"/>
  <c r="X12" i="3" s="1"/>
  <c r="Y12" i="3"/>
  <c r="Z12" i="3" s="1"/>
  <c r="AA12" i="3"/>
  <c r="L25" i="6"/>
  <c r="Q13" i="7"/>
  <c r="L6" i="4"/>
  <c r="AA6" i="4" s="1"/>
  <c r="Q6" i="6"/>
  <c r="Y6" i="6" s="1"/>
  <c r="X3" i="3"/>
  <c r="Y13" i="3"/>
  <c r="Z13" i="3" s="1"/>
  <c r="Q9" i="5"/>
  <c r="Y9" i="5" s="1"/>
  <c r="Q16" i="5"/>
  <c r="Y16" i="5" s="1"/>
  <c r="M23" i="5"/>
  <c r="AB23" i="5" s="1"/>
  <c r="M15" i="6"/>
  <c r="AB15" i="6" s="1"/>
  <c r="P9" i="3"/>
  <c r="R26" i="6"/>
  <c r="E27" i="7"/>
  <c r="K21" i="3"/>
  <c r="O21" i="7"/>
  <c r="O23" i="7"/>
  <c r="P15" i="7" l="1"/>
  <c r="F34" i="7"/>
  <c r="L33" i="7"/>
  <c r="J33" i="7"/>
  <c r="K33" i="7"/>
  <c r="B34" i="7"/>
  <c r="D25" i="7"/>
  <c r="M35" i="7"/>
  <c r="P17" i="7"/>
  <c r="N33" i="7"/>
  <c r="L7" i="4"/>
  <c r="AA7" i="4" s="1"/>
  <c r="D23" i="7"/>
  <c r="P23" i="7" s="1"/>
  <c r="AB4" i="5"/>
  <c r="Q19" i="7"/>
  <c r="I20" i="7"/>
  <c r="I33" i="7" s="1"/>
  <c r="Y19" i="5"/>
  <c r="AB19" i="5"/>
  <c r="Y63" i="5"/>
  <c r="Y7" i="5"/>
  <c r="AB6" i="5"/>
  <c r="AB63" i="5"/>
  <c r="G35" i="7"/>
  <c r="O34" i="7"/>
  <c r="L35" i="7"/>
  <c r="M33" i="7"/>
  <c r="D24" i="7"/>
  <c r="H25" i="7"/>
  <c r="Q25" i="7" s="1"/>
  <c r="P8" i="4"/>
  <c r="X8" i="4" s="1"/>
  <c r="P7" i="4"/>
  <c r="X7" i="4" s="1"/>
  <c r="Q23" i="6"/>
  <c r="Y23" i="6" s="1"/>
  <c r="H14" i="7"/>
  <c r="Q14" i="7" s="1"/>
  <c r="AA3" i="3"/>
  <c r="L20" i="3"/>
  <c r="AA20" i="3" s="1"/>
  <c r="C33" i="7"/>
  <c r="L19" i="3"/>
  <c r="AA19" i="3" s="1"/>
  <c r="K34" i="7"/>
  <c r="Y26" i="6"/>
  <c r="Y4" i="6"/>
  <c r="P19" i="3"/>
  <c r="H24" i="7"/>
  <c r="Q24" i="7" s="1"/>
  <c r="Q17" i="7"/>
  <c r="AA5" i="4"/>
  <c r="D14" i="7"/>
  <c r="P14" i="7" s="1"/>
  <c r="D27" i="7"/>
  <c r="P27" i="7" s="1"/>
  <c r="L21" i="3"/>
  <c r="AA21" i="3" s="1"/>
  <c r="AB7" i="6"/>
  <c r="H28" i="7"/>
  <c r="Q28" i="7" s="1"/>
  <c r="H12" i="7"/>
  <c r="Q12" i="7" s="1"/>
  <c r="AB15" i="5"/>
  <c r="AB3" i="6"/>
  <c r="M23" i="6"/>
  <c r="L8" i="4"/>
  <c r="AA8" i="4" s="1"/>
  <c r="B12" i="7"/>
  <c r="B20" i="7" s="1"/>
  <c r="B33" i="7" s="1"/>
  <c r="Q21" i="7"/>
  <c r="E35" i="7"/>
  <c r="D29" i="7"/>
  <c r="M26" i="6"/>
  <c r="AB26" i="6" s="1"/>
  <c r="Q25" i="6"/>
  <c r="Y25" i="6" s="1"/>
  <c r="Q29" i="7"/>
  <c r="Q32" i="7"/>
  <c r="E22" i="7"/>
  <c r="P25" i="7"/>
  <c r="Z25" i="6"/>
  <c r="M25" i="6"/>
  <c r="AB25" i="6" s="1"/>
  <c r="E20" i="7"/>
  <c r="D12" i="7"/>
  <c r="Y21" i="3"/>
  <c r="C34" i="7"/>
  <c r="Y8" i="4"/>
  <c r="E30" i="7"/>
  <c r="P21" i="3"/>
  <c r="X21" i="3" s="1"/>
  <c r="H27" i="7"/>
  <c r="X9" i="3"/>
  <c r="Q15" i="7"/>
  <c r="P24" i="7"/>
  <c r="E31" i="7"/>
  <c r="D28" i="7"/>
  <c r="P28" i="7" s="1"/>
  <c r="Y61" i="5"/>
  <c r="AB61" i="5"/>
  <c r="Z61" i="5"/>
  <c r="C35" i="7"/>
  <c r="O35" i="7"/>
  <c r="X19" i="3" l="1"/>
  <c r="D21" i="7"/>
  <c r="P21" i="7" s="1"/>
  <c r="D30" i="7"/>
  <c r="P30" i="7" s="1"/>
  <c r="P19" i="7"/>
  <c r="H30" i="7"/>
  <c r="Q30" i="7" s="1"/>
  <c r="H31" i="7"/>
  <c r="Q31" i="7" s="1"/>
  <c r="D32" i="7"/>
  <c r="P29" i="7"/>
  <c r="E34" i="7"/>
  <c r="P12" i="7"/>
  <c r="E33" i="7"/>
  <c r="Q27" i="7"/>
  <c r="D31" i="7"/>
  <c r="P31" i="7" s="1"/>
  <c r="I23" i="7"/>
  <c r="P32" i="7" l="1"/>
  <c r="D35" i="7"/>
  <c r="P35" i="7" s="1"/>
  <c r="I35" i="7"/>
  <c r="Q35" i="7" s="1"/>
  <c r="Q23" i="7"/>
  <c r="Q58" i="5" l="1"/>
  <c r="Z58" i="5"/>
  <c r="AA58" i="5" s="1"/>
  <c r="M58" i="5"/>
  <c r="AB62" i="5" l="1"/>
  <c r="P16" i="7"/>
  <c r="D20" i="7"/>
  <c r="AB58" i="5"/>
  <c r="AB60" i="5"/>
  <c r="Y62" i="5"/>
  <c r="Y58" i="5"/>
  <c r="Z62" i="5"/>
  <c r="Z60" i="5"/>
  <c r="Y60" i="5" l="1"/>
  <c r="P20" i="7"/>
  <c r="D33" i="7"/>
  <c r="P33" i="7" s="1"/>
  <c r="Q18" i="7"/>
  <c r="H22" i="7"/>
  <c r="H20" i="7"/>
  <c r="Q16" i="7"/>
  <c r="P18" i="7"/>
  <c r="D22" i="7"/>
  <c r="P22" i="7" l="1"/>
  <c r="D34" i="7"/>
  <c r="P34" i="7" s="1"/>
  <c r="H33" i="7"/>
  <c r="Q33" i="7" s="1"/>
  <c r="Q20" i="7"/>
  <c r="Q22" i="7"/>
  <c r="H34" i="7"/>
  <c r="Q34" i="7" s="1"/>
</calcChain>
</file>

<file path=xl/sharedStrings.xml><?xml version="1.0" encoding="utf-8"?>
<sst xmlns="http://schemas.openxmlformats.org/spreadsheetml/2006/main" count="859" uniqueCount="355">
  <si>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</si>
  <si>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</si>
  <si>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</si>
  <si>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</si>
  <si>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</si>
  <si>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</si>
  <si>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</si>
  <si>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</si>
  <si>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</si>
  <si>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</si>
  <si>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</si>
  <si>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</si>
  <si>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</si>
  <si>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</si>
  <si>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</si>
  <si>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</si>
  <si>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</si>
  <si>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ZATWIERDZAM</t>
  </si>
  <si>
    <t>………………………………………………………………………………….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</si>
  <si>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</si>
  <si>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</si>
  <si>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</si>
  <si>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</si>
  <si>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</si>
  <si>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B - budowa (rozbudowa), P - przebudowa, R - remont</t>
  </si>
  <si>
    <t>kolorem czerwonym oznaczono zadania wieloletnie</t>
  </si>
  <si>
    <t>Rodzaj zadania</t>
  </si>
  <si>
    <t>spr-lata</t>
  </si>
  <si>
    <t>spr-procent</t>
  </si>
  <si>
    <t>spr-dof</t>
  </si>
  <si>
    <t>spr-montaż</t>
  </si>
  <si>
    <t>TERC</t>
  </si>
  <si>
    <t>Zadanie wieloletnie [N/W]</t>
  </si>
  <si>
    <t>RAZEM listy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</si>
  <si>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</si>
  <si>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</si>
  <si>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</si>
  <si>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</si>
  <si>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</si>
  <si>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</si>
  <si>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</si>
  <si>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</si>
  <si>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</si>
  <si>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</si>
  <si>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</si>
  <si>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Powiat Nyski</t>
  </si>
  <si>
    <t>P</t>
  </si>
  <si>
    <t>K</t>
  </si>
  <si>
    <t>Powiat Brzeski</t>
  </si>
  <si>
    <t>Powiat Prudnicki</t>
  </si>
  <si>
    <t>Gmina Nysa</t>
  </si>
  <si>
    <t>Gmina Grodków</t>
  </si>
  <si>
    <t>N</t>
  </si>
  <si>
    <t>Gmina Brzeg</t>
  </si>
  <si>
    <t>Gmina Łubniany</t>
  </si>
  <si>
    <t>Powiat Opolski</t>
  </si>
  <si>
    <t>Powiat Oleski</t>
  </si>
  <si>
    <t>Powiat Strzelecki</t>
  </si>
  <si>
    <t>Powiat Namysłowski</t>
  </si>
  <si>
    <t>Powiat Krapkowicki</t>
  </si>
  <si>
    <t>Powiat Kędzierzyńsko - Kozielski</t>
  </si>
  <si>
    <t>Przebudowa mostu nad zalewem rz. Nysa Kłodzka w ciągu drogi powiatowej nr 1508 O w km 12+270 w Lewinie Brzeskim</t>
  </si>
  <si>
    <t>lipiec 2020 - wrzesień 2021</t>
  </si>
  <si>
    <t>FDS/G/2/2019</t>
  </si>
  <si>
    <t>FDS/G/57/2019</t>
  </si>
  <si>
    <t>Gmina Chrząstowice</t>
  </si>
  <si>
    <t>Gmina Wołczyn</t>
  </si>
  <si>
    <t>Gmina Prudnik</t>
  </si>
  <si>
    <t>Gmina Popielów</t>
  </si>
  <si>
    <t>Gmina Świerczów</t>
  </si>
  <si>
    <t>Gmina Dobrzeń Wielki</t>
  </si>
  <si>
    <t>Gmina Gogolin</t>
  </si>
  <si>
    <t>Gmina Reńska Wieś</t>
  </si>
  <si>
    <t>Gmina Pokój</t>
  </si>
  <si>
    <t>Gmina Korfantów</t>
  </si>
  <si>
    <t>Gmina Praszka</t>
  </si>
  <si>
    <t>Gmina Krapkowice</t>
  </si>
  <si>
    <t>Gmina Skoroszyce</t>
  </si>
  <si>
    <t>Gmina Namysłów</t>
  </si>
  <si>
    <t>Gmina Bierawa</t>
  </si>
  <si>
    <t>Gmina Zawadzkie</t>
  </si>
  <si>
    <t>Gmina Kietrz</t>
  </si>
  <si>
    <t>Gmina Kluczbork</t>
  </si>
  <si>
    <t>Powiat Głubczycki</t>
  </si>
  <si>
    <t>Powiat Kluczborski</t>
  </si>
  <si>
    <t>Przebudowa drogi gminnej ul. Szkolnej w Lędzinach</t>
  </si>
  <si>
    <t>Przebudowa ulic Kochanowskiego i Dąbrowskiej w Grodkowie</t>
  </si>
  <si>
    <t>kwiecień 2020 - grudzień 2021</t>
  </si>
  <si>
    <t>marzec 2020 - grudzień 2021</t>
  </si>
  <si>
    <t>W</t>
  </si>
  <si>
    <t>1601</t>
  </si>
  <si>
    <t>Gmina Głubczyce</t>
  </si>
  <si>
    <t>Gmina Byczyna</t>
  </si>
  <si>
    <t>FDS/2020/P/10</t>
  </si>
  <si>
    <t>FDS/2020/P/12</t>
  </si>
  <si>
    <t>FDS/2020/P/13</t>
  </si>
  <si>
    <t>FDS/2020/P/4</t>
  </si>
  <si>
    <t>FDS/2020/P/15</t>
  </si>
  <si>
    <t>FDS/2020/P/9</t>
  </si>
  <si>
    <t>FDS/2020/P/14</t>
  </si>
  <si>
    <t>FDS/2020/P/11</t>
  </si>
  <si>
    <t>FDS/2020/P/5</t>
  </si>
  <si>
    <t>FDS/2020/P/20</t>
  </si>
  <si>
    <t xml:space="preserve">FDS/P/17/2019
</t>
  </si>
  <si>
    <t>FDS/2020/P/21</t>
  </si>
  <si>
    <t>FDS/2020/P/19</t>
  </si>
  <si>
    <t>FDS/2020/P/22</t>
  </si>
  <si>
    <t>Gmina Niemodlin</t>
  </si>
  <si>
    <t>Gmina Dąbrowa</t>
  </si>
  <si>
    <t>Gmina Tułowice</t>
  </si>
  <si>
    <t>Gmina Głogówek</t>
  </si>
  <si>
    <t>FDS/2020/G/7</t>
  </si>
  <si>
    <t>FDS/2020/G/4</t>
  </si>
  <si>
    <t>FDS/2020/G/22</t>
  </si>
  <si>
    <t>FDS/2020/G/27</t>
  </si>
  <si>
    <t>FDS/2020/G/52</t>
  </si>
  <si>
    <t>FDS/2020/G/66</t>
  </si>
  <si>
    <t>FDS/2020/G/1</t>
  </si>
  <si>
    <t>FDS/2020/G/69</t>
  </si>
  <si>
    <t>FDS/2020/G/13</t>
  </si>
  <si>
    <t>FDS/2020/G/24</t>
  </si>
  <si>
    <t>Gmina Olesno</t>
  </si>
  <si>
    <t>Gmina Paczków</t>
  </si>
  <si>
    <t>Gmina Biała</t>
  </si>
  <si>
    <t>FDS/2020/G/20</t>
  </si>
  <si>
    <t>FDS/2020/G/64</t>
  </si>
  <si>
    <t>FDS/2020/G/23</t>
  </si>
  <si>
    <t>FDS/2020/G/16</t>
  </si>
  <si>
    <t>FDS/2020/G/14</t>
  </si>
  <si>
    <t>FDS/2020/G/25</t>
  </si>
  <si>
    <t>FDS/2020/G/73</t>
  </si>
  <si>
    <t>FDS/2020/G/43</t>
  </si>
  <si>
    <t>FDS/2020/G/79</t>
  </si>
  <si>
    <t>FDS/2020/G/50</t>
  </si>
  <si>
    <t>FDS/2020/G/29</t>
  </si>
  <si>
    <t>FDS/2020/G/46</t>
  </si>
  <si>
    <t>FDS/2020/G/44</t>
  </si>
  <si>
    <t>FDS/2020/G/51</t>
  </si>
  <si>
    <t>FDS/2020/G/80</t>
  </si>
  <si>
    <t>FDS/2020/G/2</t>
  </si>
  <si>
    <t>FDS/2020/G/78</t>
  </si>
  <si>
    <t>FDS/2020/G/53</t>
  </si>
  <si>
    <t>FDS/2020/G/81</t>
  </si>
  <si>
    <t>FDS/2020/G/17</t>
  </si>
  <si>
    <t>FDS/2020/G/8</t>
  </si>
  <si>
    <t>Gmina Turawa</t>
  </si>
  <si>
    <t>Gmina Baborów</t>
  </si>
  <si>
    <t>FDS/2020/G/18</t>
  </si>
  <si>
    <t>FDS/2020/G/63</t>
  </si>
  <si>
    <t>FDS/2020/G/9</t>
  </si>
  <si>
    <t>FDS/2020/G/10</t>
  </si>
  <si>
    <t>FDS/2020/G/83</t>
  </si>
  <si>
    <t>FDS/2020/G/21</t>
  </si>
  <si>
    <t>FDS/2020/G/47</t>
  </si>
  <si>
    <t>FDS/2020/G/15</t>
  </si>
  <si>
    <t>FDS/2020/G/3</t>
  </si>
  <si>
    <t>Gmina Lewin Brzeski</t>
  </si>
  <si>
    <t>Gmina Strzelce Opolskie</t>
  </si>
  <si>
    <t>Gmina Radłów</t>
  </si>
  <si>
    <t>FDS/2020/G/40</t>
  </si>
  <si>
    <t>FDS/2020/G/26</t>
  </si>
  <si>
    <t>FDS/2020/G/65</t>
  </si>
  <si>
    <t>FDS/2020/G/45</t>
  </si>
  <si>
    <t>FDS/2020/G/82</t>
  </si>
  <si>
    <t>FDS/2020/G/12</t>
  </si>
  <si>
    <t>Gmina Kolonowskie</t>
  </si>
  <si>
    <t>Gmina Polska Cerekiew</t>
  </si>
  <si>
    <t>FDS/2020/G/70</t>
  </si>
  <si>
    <t>FDS/2020/G/28</t>
  </si>
  <si>
    <t>FDS/2020/G/37</t>
  </si>
  <si>
    <t>FDS/2020/G/62</t>
  </si>
  <si>
    <t>FDS/2020/G/5</t>
  </si>
  <si>
    <t>FDS/2020/G/31</t>
  </si>
  <si>
    <t>FDS/2020/G/39</t>
  </si>
  <si>
    <t>FDS/2020/G/48</t>
  </si>
  <si>
    <t>FDS/2020/G/76</t>
  </si>
  <si>
    <t>FDS/2020/G/68</t>
  </si>
  <si>
    <t>FDS/2020/G/35</t>
  </si>
  <si>
    <t>Gmina Zdzieszowice</t>
  </si>
  <si>
    <t xml:space="preserve">Gmina Pawłowiczki </t>
  </si>
  <si>
    <t>Gmina Ozimek</t>
  </si>
  <si>
    <t>FDS/2020/G/49</t>
  </si>
  <si>
    <t>FDS/2020/G/72</t>
  </si>
  <si>
    <t>FDS/2020/G/6</t>
  </si>
  <si>
    <t>FDS/2020/G/71</t>
  </si>
  <si>
    <t>FDS/2020/G/67</t>
  </si>
  <si>
    <t>Gmina Jemielnica</t>
  </si>
  <si>
    <t>Gmina Lubrza</t>
  </si>
  <si>
    <t>FDS/2020/P/3</t>
  </si>
  <si>
    <t>FDS/2020/P/2</t>
  </si>
  <si>
    <t>Przebudowa drogi powiatowej nr 1905 O (Goła - Przytoczna - do DW487) na długości 995 m w miejscowości Goła</t>
  </si>
  <si>
    <t>Przebudowa drogi powiatowej nr 1220 O na odcinku Lewice - Michałkowice oraz drogi powiatowej nr 1241 O w miejscowości Lewice</t>
  </si>
  <si>
    <t>ROZBUDOWA DROGI POWIATOWEJ NR 2189 O - ALEJA WOJSKA POLSKIEGO W NYSIE</t>
  </si>
  <si>
    <t xml:space="preserve">Przebudowa drogi powiatowej nr 1477 O ul. Mostowa w Kędzierzynie - Koźlu </t>
  </si>
  <si>
    <t>PRZEBUDOWA ODCINKA DROGI POWIATOWEJ NR 1654 O</t>
  </si>
  <si>
    <t>PRZEBUDOWA ODCINKA DROGI POWIATOWEJ NR 1531 O W MIEJSCOWOŚCI WŁODARY</t>
  </si>
  <si>
    <t>Przebudowa drogi powiatowej nr 1211 O na odcinku Gościęcin - Karchów</t>
  </si>
  <si>
    <t>Przebudowa drogi powiatowej nr 1916 O (Praszka - Szyszków - Gorzów Śląski) na długości 995 m w miejscowości Praszka</t>
  </si>
  <si>
    <t>Remont DP nr 1165 O odc. od mostu do m. Prędocin</t>
  </si>
  <si>
    <t>Przebudowa drogi polegająca na budowie chodnika w ciągu DP nr 1716 O na odc. od DW 415 do m. Zimnice Małe wraz z przebudową kolidującej sieci teletechnicznej</t>
  </si>
  <si>
    <t>Przebudowa drogi powiatowej Nr 1522 O w zakresie budowy chodnika w miejscowości Goszczowice</t>
  </si>
  <si>
    <t>Przebudowa drogi powiatowej nr 1209 O relacji Mochów - Racławice Śląskie - etap II</t>
  </si>
  <si>
    <t>Przebudowa drogi powiatowej nr 1811 O w zakresie budowy ścieżki pieszo-rowerowej na odcinku Komorniki-Kórnica</t>
  </si>
  <si>
    <t>Przebudowa ulicy Jana Pawła II w Brzegu</t>
  </si>
  <si>
    <t>Przebudowa i rozbudowa ul. Słonecznej w Niemodlinie od km 0+021,15 do km 1 + 160,55</t>
  </si>
  <si>
    <t xml:space="preserve">Przebudowa ul. Kasztanowej w Szymonkowie </t>
  </si>
  <si>
    <t>Przebudowa ul. Wiejskiej w Karczowie</t>
  </si>
  <si>
    <t>Budowa dróg publicznych w rejonie Wałbrzyskiej Strefy Ekonomicznej w Grodkowie</t>
  </si>
  <si>
    <t>Przebudowa drogi w Rynku w Nysie</t>
  </si>
  <si>
    <t>Przebudowa ulicy Wyzwolenia w Gogolinie, droga gminna nr 106141 O</t>
  </si>
  <si>
    <t>Budowa dróg w rejonie ulic Azalii i Prudnickiej w Krapkowicach</t>
  </si>
  <si>
    <t xml:space="preserve">Przebudowa drogi gminnej, ul. Pocztowej w m. Tułowice wraz z przebudową skrzyżowania z drogą wojewódzką nr 405 </t>
  </si>
  <si>
    <t>Przebudowa ulicy Korfantego w Głogówku</t>
  </si>
  <si>
    <t>Przebudowa drogi z poprawą bezpieczeństwa w rejonie osiedla mieszkaniowego w Brzezinkach</t>
  </si>
  <si>
    <t>Przebudowa drogi gminnej ul. Wrzosowej w Suchym Borze</t>
  </si>
  <si>
    <t>Budowa ul. Brzozowej w Oleśnie</t>
  </si>
  <si>
    <t>Remont drogi dojazdowej do terenów inwestycyjnych ul. Fabrycznej w Wołczynie etap II</t>
  </si>
  <si>
    <t>Remont dróg lokalnych na terenie sołectwa Pokrzywnica</t>
  </si>
  <si>
    <t>Remont ulicy Klonowej w Byczynie</t>
  </si>
  <si>
    <t>Przebudowa ul. Cyprysowej oraz ul. Lipowej w Oleśnie</t>
  </si>
  <si>
    <t>Remont dróg gminnych ul. Kwiatowej i ul. Stromej w Reńskiej Wsi</t>
  </si>
  <si>
    <t>Remont drogi w Trzeboszowicach położonej na działce 850</t>
  </si>
  <si>
    <t>Przebudowa drogi gminnej ul. Strażaków nr 108717 O w Baborowie</t>
  </si>
  <si>
    <t>Przebudowa drogi wewnętrznej w miejscowości Niesiebędowice</t>
  </si>
  <si>
    <t>Przebudowa drogi gminnej w m. Prężyna</t>
  </si>
  <si>
    <t>Budowa drogi gminnej w miejscowości Chróścice</t>
  </si>
  <si>
    <t>Remont drogi w Unikowicach położonej na działce nr 202</t>
  </si>
  <si>
    <t>Przebudowa drogi gminnej - ul. Pokojskiej w miejscowości Lubienia</t>
  </si>
  <si>
    <t>Przebudowa drogi gminnej w miejscowości Krobusz</t>
  </si>
  <si>
    <t>Przebudowa nawierzchni drogi w miejscowości Piechocice</t>
  </si>
  <si>
    <t>Budowa drogi w Kowalowicach</t>
  </si>
  <si>
    <t>Przebudowa ulic: Klonowej, Brzozowej, Akacjowej i Świerkowej w miejscowości Kotórz Mały</t>
  </si>
  <si>
    <t>Remont drogi położonej w Paczkowie przy ul. Dworcowej na działkach nr 65, 51/2</t>
  </si>
  <si>
    <t>Przebudowa ulicy Pływackiej w miejscowości Rzędów (etap II)</t>
  </si>
  <si>
    <t>Przebudowa drogi gminnej ul. Piaskowa nr 108732 O w Baborowie</t>
  </si>
  <si>
    <t>Przebudowa ul. Kolejowej w Dąbrowie</t>
  </si>
  <si>
    <t>Rozbudowa drogi gminnej ul. Kościuszki w m. Dobrzeń Wielki - Etap I</t>
  </si>
  <si>
    <t>Przebudowa ulicy Kopernika w miejscowości Krapkowice</t>
  </si>
  <si>
    <t>Budowa dróg gminnych ulicy Dębowej w Ozimku i Krasiejowie, Sosnowej i Modrzewiowej w Ozimku wraz z oświetleniem i odwodnieniem oraz budową skrzyżowania drogi gminnej ulicy Dębowej z drogą wojewódzką nr 463 ul. Wyzwolenia w miejscowości Ozimek</t>
  </si>
  <si>
    <t>Budowa drogi gminnej - ul. Zielona w Radziejowie</t>
  </si>
  <si>
    <t>Przebudowa drogi gminnej - ul. Sportowej w Radziejowie</t>
  </si>
  <si>
    <t>Remont ul. Powstańców Śląskich w Brzegu</t>
  </si>
  <si>
    <t>Przebudowa ul. Nowa-Droga Gminna nr 102612 O, M.Kępa, Gmina Łubniany</t>
  </si>
  <si>
    <t>Przebudowa drogi gminnej nr 100933 O - ul. Curie - Skłodowskiej w Praszce - Etap II</t>
  </si>
  <si>
    <t>Przebudowa drogi w m. Grodziec (DZ. NR 204 i 205)</t>
  </si>
  <si>
    <t>Przebudowa drogi gminnej - ul. Kościelnej w miejscowości Karłowice</t>
  </si>
  <si>
    <t>Przebudowa drogi gminnej oraz dróg wewnętrznych w miejscowości Sarny Małe</t>
  </si>
  <si>
    <t>Przebudowa drogi gminnej - ul. Długiej w Kolonowskiem</t>
  </si>
  <si>
    <t xml:space="preserve">Przebudowa drogi gminnej nr 101226 O Boroszów - Radłów od km 4+300 do km 5+240 </t>
  </si>
  <si>
    <t>Przebudowa dróg w Chróścinie - ul. Słoneczna, Krótka, Boczna</t>
  </si>
  <si>
    <t>Przebudowa ulicy Karola Miarki w Głubczycach</t>
  </si>
  <si>
    <t>Remont odcinka drogi w ciągu ul. Długiej w Kietrzu, będącej drogą publiczną gminną nr 108809 O</t>
  </si>
  <si>
    <t>Remont dróg gminnych nr G 107310 O i G 107323 O w Nowym Browińcu</t>
  </si>
  <si>
    <t>Przebudowa drogi gminnej - ul. Polna w miejscowości Nowe Siołkowice</t>
  </si>
  <si>
    <t>Budowa drogi ul. Podkowińskiego, ul. Kantora wraz z łącznikiem, sieci kanalizacji deszczowej wraz z odprowadzeniem wód deszczowych do rowu melioracyjnejgo, przebudowa sieci wodociągowej, zjazdów indywidualnych i publicznych</t>
  </si>
  <si>
    <t>Przebudowa dróg gminnych - ulic Ciepłodolskiej i Dworcowej w Polskiej Cerekwi</t>
  </si>
  <si>
    <t>Przebudowa ul. Wschodniej w Zdzieszowicach</t>
  </si>
  <si>
    <t>Przebudowa drogi gminnej - ul. Chabrów w Kolonowskiem</t>
  </si>
  <si>
    <t>Remont drogi gminnej ul. Wiejskiej w Goszycach - etap II</t>
  </si>
  <si>
    <t>Przebudowa drogi gminnej ul. Wierzbowej w miejscowości Stare Koźle etap II</t>
  </si>
  <si>
    <t>Przebudowa drogi gminnej - ul. Bzów w Kolonowskiem</t>
  </si>
  <si>
    <t>Remont odcinka ulicy Krasickiego w Pilszczu będącej drogą publiczną gminną nr 108832 O</t>
  </si>
  <si>
    <t>Remont drogi gminnej nr 108442 O ulicy Ogrodowej oraz parkingu w Pawłowiczkach</t>
  </si>
  <si>
    <t>Remont drogi gminnej publicznej w miejscowości Krogulna o długości 1953,00 m</t>
  </si>
  <si>
    <t>Remont drogi gminnej nr 105567 O Gąsiorowice - Łaziska ul. Młyńska w m. Gąsiorowice</t>
  </si>
  <si>
    <t>Remont nawierzchni jezdni i chodników ulicy Mickiewicza w Zawadzkiem wraz z przebudową kanalizacji deszczowej</t>
  </si>
  <si>
    <t>Remont dróg gminnych ul. Dworcowej, Górnej, Związkowej, Harcerskiej i Spokojnej w Reńskiej Wsi</t>
  </si>
  <si>
    <t>Remont nawierzchni jezdni i chodników ulicy 1 Maja w Zawadzkiem wraz z przebudową kanalizacji deszczowej</t>
  </si>
  <si>
    <t>Długość odcinka (w km)</t>
  </si>
  <si>
    <t>maj 2021 - grudzień 2022</t>
  </si>
  <si>
    <t>B</t>
  </si>
  <si>
    <t>czerwiec 2021 - grudzień 2021</t>
  </si>
  <si>
    <t>R</t>
  </si>
  <si>
    <t>Przebudowa ulicy Grottgera w Prudniku</t>
  </si>
  <si>
    <t>czerwiec 2021 - listopada 2021</t>
  </si>
  <si>
    <t>kwiecień 2021 - listopad 2021</t>
  </si>
  <si>
    <t>marzec 2021 - lipiec 2022</t>
  </si>
  <si>
    <t>kwiecień 2021 - październik 2021</t>
  </si>
  <si>
    <t>marzec 2021 - listopad 2021</t>
  </si>
  <si>
    <t>kwiecień 2021 - lipiec 2021</t>
  </si>
  <si>
    <t>luty 2021 - październik 2021</t>
  </si>
  <si>
    <t>maj 2021 - październik 2021</t>
  </si>
  <si>
    <t>czerwiec 2021 - październik 2021</t>
  </si>
  <si>
    <t>styczeń 2021 - październik 2021</t>
  </si>
  <si>
    <t>czerwiec 2021 - listopad 2021</t>
  </si>
  <si>
    <t>maj 2021 - listopad 2021</t>
  </si>
  <si>
    <t>maj 2021 - grudzień 2021</t>
  </si>
  <si>
    <t>lipiec 2021 - październik 2021</t>
  </si>
  <si>
    <t>Powiat Krapkowice</t>
  </si>
  <si>
    <t>Powiat P:rudnicki</t>
  </si>
  <si>
    <t>okres realizacji zadania</t>
  </si>
  <si>
    <t>marzec 2021 - grudzień 2021</t>
  </si>
  <si>
    <t>marzec 2021 - październik 2021</t>
  </si>
  <si>
    <t>maj 2021 - wrzesień 2021</t>
  </si>
  <si>
    <t>marzec 2021 - wrzesień 2021</t>
  </si>
  <si>
    <t>kwiecień 2021 - sierpień 2022</t>
  </si>
  <si>
    <t>kwiecień 2021 - listopad  2021</t>
  </si>
  <si>
    <t>maJ 2021 - październik 2021</t>
  </si>
  <si>
    <t>czerwiec 2021 - wrzesień  2021</t>
  </si>
  <si>
    <t>maj 2021 - sierpień 2021</t>
  </si>
  <si>
    <t>1602</t>
  </si>
  <si>
    <t>1607</t>
  </si>
  <si>
    <t>1603</t>
  </si>
  <si>
    <t>1611</t>
  </si>
  <si>
    <t>kwiecień 2021 - kwiecień 2022</t>
  </si>
  <si>
    <t>kwiecień 2021 - wrzesień 2021</t>
  </si>
  <si>
    <t>1609</t>
  </si>
  <si>
    <t>1610</t>
  </si>
  <si>
    <t>1605</t>
  </si>
  <si>
    <t>kwiecień 2021 - sierpień 2021</t>
  </si>
  <si>
    <t xml:space="preserve">Remont drogi powiatowej nr 2093 O (ulica Drzymały w Kluczborku) na odcinku o długości 483m (w km od 0+007,5 do 490,5) </t>
  </si>
  <si>
    <t>FDS/2020/P/16</t>
  </si>
  <si>
    <t>Remont drogi powiatowej nr 1208 O relacji Biała - Mochów (do DK40) na odcinku od miejscowości Rostkowice do miejscowości Mionów na odcinku 2845m</t>
  </si>
  <si>
    <t>Remont drogi powiatowej nr 1614 O relacji Prudnik - Biała na odcinku od miejscowości Prudnik do miejscowości Prężynka na odcinku 2883m</t>
  </si>
  <si>
    <t>FDS/2020/P/17</t>
  </si>
  <si>
    <t>FDS/2020/P/18</t>
  </si>
  <si>
    <t>Przebudowa i rozbudowa ul. Zamkowej w Kadłubie</t>
  </si>
  <si>
    <t>kwiecień 2021 -
 maj 2021</t>
  </si>
  <si>
    <t>1604</t>
  </si>
  <si>
    <t>Przebudowa mostu JNI 30004471 w ciągu drogi powiatowej 1401 O Zdzieszowice - Leśnica - Zalesie Śląskie w m. Leśnica ul. Zdzieszowicka</t>
  </si>
  <si>
    <t>16070503</t>
  </si>
  <si>
    <t>Budowa dróg i uzbrojenia podziemnego Regionalnego Parku Przemysłowego WSSE Invest - Park na terenie Gminy Nysa, w obrębach wsi Radzikowice i Goświnowice - etap II</t>
  </si>
  <si>
    <t>FDS/G/44/2019</t>
  </si>
  <si>
    <t>maj 2019
marzec 2021</t>
  </si>
  <si>
    <t>15*</t>
  </si>
  <si>
    <t xml:space="preserve">Lista zadań rekomendowanych do dofinansowania w ramach Rządowego Funduszu Rozwoju Dróg 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</si>
  <si>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</si>
  <si>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</t>
    </r>
    <r>
      <rPr>
        <sz val="10"/>
        <color rgb="FFFF0000"/>
        <rFont val="Times New Roman"/>
        <family val="1"/>
        <charset val="238"/>
      </rPr>
      <t>na rok 2021</t>
    </r>
  </si>
  <si>
    <r>
      <t xml:space="preserve">Województwo: </t>
    </r>
    <r>
      <rPr>
        <sz val="10"/>
        <color rgb="FFFF0000"/>
        <rFont val="Times New Roman"/>
        <family val="1"/>
        <charset val="238"/>
      </rPr>
      <t>Opolskie</t>
    </r>
  </si>
  <si>
    <t>marzec 2021 - kwiecień 2021</t>
  </si>
  <si>
    <t>Gmina Branice</t>
  </si>
  <si>
    <t>Przebudowa drogi gminnej w miejscowości Bliszczyce</t>
  </si>
  <si>
    <t>Przebudowa drogi gminnej w miejscowości Jędrychowice</t>
  </si>
  <si>
    <t>luty 2021 - wrzesień 2021</t>
  </si>
  <si>
    <t>Przebudowa drogi powiatowej nr 1213 O relacji Klisino - Pomorzowiczki</t>
  </si>
  <si>
    <t>czerwiec 2021 - grudzień 2022</t>
  </si>
  <si>
    <t>sierpień 2021 - grudzień 2021</t>
  </si>
  <si>
    <t>26 lutego 2021 - 10 grudnia 2021</t>
  </si>
  <si>
    <t>FDS/2020/G/32</t>
  </si>
  <si>
    <t>FDS/2020/G/33</t>
  </si>
  <si>
    <t>FDS/2020/G/54 zadanie przeniesione na listę podstawową</t>
  </si>
  <si>
    <t>FDS/2020/G/38 zadanie przeniesione na listę podstawową</t>
  </si>
  <si>
    <t>FDS/2020/G/11 zadanie przeniesione na listę podstawową</t>
  </si>
  <si>
    <t>FDS/2020/G/41 zadanie przeniesione na listę podstawową</t>
  </si>
  <si>
    <t>luty 2021 - grudzień 2021</t>
  </si>
  <si>
    <t>FDS/2020/G/54
 zadanie przeniesione z listy rezerwowej</t>
  </si>
  <si>
    <t>FDS/2020/G/38 
zadanie przeniesione z listy rezerwowej</t>
  </si>
  <si>
    <t>FDS/2020/G/11 
zadanie przeniesione z listy rezerwowej</t>
  </si>
  <si>
    <t>FDS/2020/G/41 
zadanie przeniesione z listy rezerwowej</t>
  </si>
  <si>
    <t>maj 2021- sierpień 2021</t>
  </si>
  <si>
    <t>sierpień 2021 - listopad 2021</t>
  </si>
  <si>
    <t>57*</t>
  </si>
  <si>
    <t>FDS/2020/G/36zadanie przeniesione na listę podstawową</t>
  </si>
  <si>
    <t>FDS/2020/G/36
zadanie przeniesione z listy rezerwowej</t>
  </si>
  <si>
    <t>Lista zmieniona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</si>
</sst>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000"/>
    <numFmt numFmtId="165" formatCode="#,##0.00\ &quot;zł&quot;"/>
    <numFmt numFmtId="166" formatCode="#,##0.000"/>
    <numFmt numFmtId="167" formatCode="#,##0.00_ ;\-#,##0.00\ "/>
    <numFmt numFmtId="168" formatCode="0.000"/>
  </numFmts>
  <fonts count="38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4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MS Sans Serif"/>
      <family val="2"/>
      <charset val="238"/>
    </font>
    <font>
      <sz val="10"/>
      <name val="Arial CE"/>
      <charset val="238"/>
    </font>
    <font>
      <sz val="11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8"/>
      <color theme="5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rgb="FF008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rgb="FFFF0000"/>
      <name val="Times New Roman"/>
      <family val="1"/>
      <charset val="238"/>
    </font>
    <font>
      <sz val="8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5">
    <xf numFmtId="0" fontId="0" fillId="0" borderId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15" fillId="0" borderId="0"/>
    <xf numFmtId="0" fontId="16" fillId="0" borderId="0"/>
    <xf numFmtId="0" fontId="16" fillId="0" borderId="0"/>
    <xf numFmtId="0" fontId="8" fillId="0" borderId="0"/>
    <xf numFmtId="0" fontId="16" fillId="0" borderId="0"/>
    <xf numFmtId="0" fontId="9" fillId="0" borderId="0"/>
    <xf numFmtId="0" fontId="12" fillId="0" borderId="0"/>
    <xf numFmtId="0" fontId="9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10" fillId="0" borderId="0"/>
    <xf numFmtId="0" fontId="11" fillId="0" borderId="0"/>
    <xf numFmtId="0" fontId="15" fillId="0" borderId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43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0" fillId="0" borderId="0" xfId="0" applyFill="1"/>
    <xf numFmtId="0" fontId="19" fillId="0" borderId="1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3" fillId="0" borderId="0" xfId="0" applyFont="1"/>
    <xf numFmtId="0" fontId="0" fillId="0" borderId="0" xfId="0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3" fillId="0" borderId="0" xfId="0" applyNumberFormat="1" applyFont="1" applyFill="1" applyBorder="1" applyAlignment="1"/>
    <xf numFmtId="4" fontId="3" fillId="0" borderId="0" xfId="0" applyNumberFormat="1" applyFont="1" applyBorder="1" applyAlignment="1"/>
    <xf numFmtId="0" fontId="3" fillId="0" borderId="0" xfId="0" applyFont="1" applyBorder="1"/>
    <xf numFmtId="4" fontId="4" fillId="0" borderId="0" xfId="0" applyNumberFormat="1" applyFont="1" applyFill="1" applyBorder="1" applyAlignment="1"/>
    <xf numFmtId="4" fontId="4" fillId="0" borderId="0" xfId="0" applyNumberFormat="1" applyFont="1" applyBorder="1" applyAlignment="1"/>
    <xf numFmtId="0" fontId="17" fillId="0" borderId="0" xfId="0" applyFont="1"/>
    <xf numFmtId="4" fontId="4" fillId="0" borderId="0" xfId="0" applyNumberFormat="1" applyFont="1" applyFill="1" applyBorder="1" applyAlignment="1">
      <alignment vertical="top"/>
    </xf>
    <xf numFmtId="4" fontId="4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16" applyFont="1" applyFill="1" applyAlignment="1">
      <alignment vertical="center"/>
    </xf>
    <xf numFmtId="0" fontId="21" fillId="0" borderId="0" xfId="16" applyFont="1" applyFill="1" applyAlignment="1">
      <alignment vertical="center"/>
    </xf>
    <xf numFmtId="0" fontId="1" fillId="0" borderId="0" xfId="0" applyFont="1"/>
    <xf numFmtId="0" fontId="22" fillId="0" borderId="0" xfId="0" applyFont="1"/>
    <xf numFmtId="4" fontId="0" fillId="0" borderId="0" xfId="0" applyNumberFormat="1" applyAlignment="1">
      <alignment vertical="center"/>
    </xf>
    <xf numFmtId="0" fontId="19" fillId="0" borderId="2" xfId="0" applyFont="1" applyBorder="1" applyAlignment="1">
      <alignment horizontal="center" vertical="center" wrapText="1"/>
    </xf>
    <xf numFmtId="0" fontId="0" fillId="0" borderId="0" xfId="0" applyFill="1" applyAlignment="1">
      <alignment vertical="center" wrapText="1" shrinkToFit="1"/>
    </xf>
    <xf numFmtId="0" fontId="22" fillId="0" borderId="0" xfId="0" applyFont="1" applyAlignment="1">
      <alignment vertical="center"/>
    </xf>
    <xf numFmtId="4" fontId="3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/>
    </xf>
    <xf numFmtId="9" fontId="15" fillId="0" borderId="0" xfId="3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65" fontId="6" fillId="2" borderId="3" xfId="0" applyNumberFormat="1" applyFont="1" applyFill="1" applyBorder="1" applyAlignment="1">
      <alignment vertical="center"/>
    </xf>
    <xf numFmtId="165" fontId="23" fillId="2" borderId="3" xfId="0" applyNumberFormat="1" applyFont="1" applyFill="1" applyBorder="1" applyAlignment="1">
      <alignment vertical="center"/>
    </xf>
    <xf numFmtId="165" fontId="23" fillId="3" borderId="2" xfId="0" applyNumberFormat="1" applyFont="1" applyFill="1" applyBorder="1" applyAlignment="1">
      <alignment vertical="center"/>
    </xf>
    <xf numFmtId="165" fontId="6" fillId="4" borderId="2" xfId="0" applyNumberFormat="1" applyFont="1" applyFill="1" applyBorder="1" applyAlignment="1">
      <alignment vertical="center"/>
    </xf>
    <xf numFmtId="165" fontId="6" fillId="3" borderId="2" xfId="0" applyNumberFormat="1" applyFont="1" applyFill="1" applyBorder="1" applyAlignment="1">
      <alignment vertical="center"/>
    </xf>
    <xf numFmtId="165" fontId="6" fillId="4" borderId="5" xfId="0" applyNumberFormat="1" applyFont="1" applyFill="1" applyBorder="1" applyAlignment="1">
      <alignment vertical="center"/>
    </xf>
    <xf numFmtId="0" fontId="23" fillId="3" borderId="6" xfId="0" applyNumberFormat="1" applyFont="1" applyFill="1" applyBorder="1" applyAlignment="1">
      <alignment vertical="center"/>
    </xf>
    <xf numFmtId="0" fontId="6" fillId="3" borderId="6" xfId="0" applyNumberFormat="1" applyFont="1" applyFill="1" applyBorder="1" applyAlignment="1">
      <alignment vertical="center"/>
    </xf>
    <xf numFmtId="0" fontId="6" fillId="4" borderId="6" xfId="0" applyNumberFormat="1" applyFont="1" applyFill="1" applyBorder="1" applyAlignment="1">
      <alignment vertical="center"/>
    </xf>
    <xf numFmtId="0" fontId="24" fillId="5" borderId="6" xfId="0" applyNumberFormat="1" applyFont="1" applyFill="1" applyBorder="1" applyAlignment="1">
      <alignment vertical="center"/>
    </xf>
    <xf numFmtId="0" fontId="6" fillId="4" borderId="3" xfId="0" applyFont="1" applyFill="1" applyBorder="1" applyAlignment="1">
      <alignment horizontal="left" vertical="center" indent="2"/>
    </xf>
    <xf numFmtId="165" fontId="23" fillId="3" borderId="7" xfId="0" applyNumberFormat="1" applyFont="1" applyFill="1" applyBorder="1" applyAlignment="1">
      <alignment vertical="center"/>
    </xf>
    <xf numFmtId="165" fontId="6" fillId="3" borderId="7" xfId="0" applyNumberFormat="1" applyFont="1" applyFill="1" applyBorder="1" applyAlignment="1">
      <alignment vertical="center"/>
    </xf>
    <xf numFmtId="165" fontId="6" fillId="4" borderId="7" xfId="0" applyNumberFormat="1" applyFont="1" applyFill="1" applyBorder="1" applyAlignment="1">
      <alignment vertical="center"/>
    </xf>
    <xf numFmtId="165" fontId="23" fillId="3" borderId="6" xfId="0" applyNumberFormat="1" applyFont="1" applyFill="1" applyBorder="1" applyAlignment="1">
      <alignment vertical="center"/>
    </xf>
    <xf numFmtId="165" fontId="6" fillId="3" borderId="6" xfId="0" applyNumberFormat="1" applyFont="1" applyFill="1" applyBorder="1" applyAlignment="1">
      <alignment vertical="center"/>
    </xf>
    <xf numFmtId="165" fontId="6" fillId="4" borderId="6" xfId="0" applyNumberFormat="1" applyFont="1" applyFill="1" applyBorder="1" applyAlignment="1">
      <alignment vertical="center"/>
    </xf>
    <xf numFmtId="165" fontId="24" fillId="5" borderId="6" xfId="0" applyNumberFormat="1" applyFont="1" applyFill="1" applyBorder="1" applyAlignment="1">
      <alignment vertical="center"/>
    </xf>
    <xf numFmtId="165" fontId="24" fillId="2" borderId="3" xfId="0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5" fontId="6" fillId="2" borderId="12" xfId="0" applyNumberFormat="1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14" xfId="0" applyNumberFormat="1" applyFont="1" applyFill="1" applyBorder="1" applyAlignment="1">
      <alignment vertical="center"/>
    </xf>
    <xf numFmtId="165" fontId="6" fillId="0" borderId="15" xfId="0" applyNumberFormat="1" applyFont="1" applyFill="1" applyBorder="1" applyAlignment="1">
      <alignment vertical="center"/>
    </xf>
    <xf numFmtId="165" fontId="6" fillId="0" borderId="16" xfId="0" applyNumberFormat="1" applyFont="1" applyFill="1" applyBorder="1" applyAlignment="1">
      <alignment vertical="center"/>
    </xf>
    <xf numFmtId="165" fontId="6" fillId="2" borderId="17" xfId="0" applyNumberFormat="1" applyFont="1" applyFill="1" applyBorder="1" applyAlignment="1">
      <alignment vertical="center"/>
    </xf>
    <xf numFmtId="165" fontId="6" fillId="0" borderId="14" xfId="0" applyNumberFormat="1" applyFont="1" applyFill="1" applyBorder="1" applyAlignment="1">
      <alignment vertical="center"/>
    </xf>
    <xf numFmtId="0" fontId="23" fillId="0" borderId="18" xfId="0" applyFont="1" applyFill="1" applyBorder="1" applyAlignment="1">
      <alignment horizontal="left" vertical="center" wrapText="1" indent="2"/>
    </xf>
    <xf numFmtId="0" fontId="6" fillId="0" borderId="18" xfId="0" applyFont="1" applyFill="1" applyBorder="1" applyAlignment="1">
      <alignment horizontal="left" vertical="center" indent="2"/>
    </xf>
    <xf numFmtId="0" fontId="23" fillId="0" borderId="19" xfId="0" applyFont="1" applyFill="1" applyBorder="1" applyAlignment="1">
      <alignment horizontal="left" vertical="center" indent="2"/>
    </xf>
    <xf numFmtId="165" fontId="23" fillId="2" borderId="20" xfId="0" applyNumberFormat="1" applyFont="1" applyFill="1" applyBorder="1" applyAlignment="1">
      <alignment vertical="center"/>
    </xf>
    <xf numFmtId="0" fontId="23" fillId="3" borderId="18" xfId="0" applyFont="1" applyFill="1" applyBorder="1" applyAlignment="1">
      <alignment horizontal="left" vertical="center" wrapText="1" indent="2"/>
    </xf>
    <xf numFmtId="0" fontId="6" fillId="3" borderId="18" xfId="0" applyFont="1" applyFill="1" applyBorder="1" applyAlignment="1">
      <alignment horizontal="left" vertical="center" indent="2"/>
    </xf>
    <xf numFmtId="0" fontId="23" fillId="3" borderId="19" xfId="0" applyFont="1" applyFill="1" applyBorder="1" applyAlignment="1">
      <alignment horizontal="left" vertical="center" indent="2"/>
    </xf>
    <xf numFmtId="0" fontId="23" fillId="3" borderId="21" xfId="0" applyNumberFormat="1" applyFont="1" applyFill="1" applyBorder="1" applyAlignment="1">
      <alignment vertical="center"/>
    </xf>
    <xf numFmtId="165" fontId="23" fillId="3" borderId="22" xfId="0" applyNumberFormat="1" applyFont="1" applyFill="1" applyBorder="1" applyAlignment="1">
      <alignment vertical="center"/>
    </xf>
    <xf numFmtId="165" fontId="23" fillId="3" borderId="23" xfId="0" applyNumberFormat="1" applyFont="1" applyFill="1" applyBorder="1" applyAlignment="1">
      <alignment vertical="center"/>
    </xf>
    <xf numFmtId="165" fontId="23" fillId="3" borderId="21" xfId="0" applyNumberFormat="1" applyFont="1" applyFill="1" applyBorder="1" applyAlignment="1">
      <alignment vertical="center"/>
    </xf>
    <xf numFmtId="0" fontId="6" fillId="4" borderId="12" xfId="0" applyFont="1" applyFill="1" applyBorder="1" applyAlignment="1">
      <alignment vertical="center"/>
    </xf>
    <xf numFmtId="0" fontId="6" fillId="4" borderId="24" xfId="0" applyNumberFormat="1" applyFont="1" applyFill="1" applyBorder="1" applyAlignment="1">
      <alignment vertical="center"/>
    </xf>
    <xf numFmtId="165" fontId="6" fillId="4" borderId="25" xfId="0" applyNumberFormat="1" applyFont="1" applyFill="1" applyBorder="1" applyAlignment="1">
      <alignment vertical="center"/>
    </xf>
    <xf numFmtId="165" fontId="6" fillId="4" borderId="26" xfId="0" applyNumberFormat="1" applyFont="1" applyFill="1" applyBorder="1" applyAlignment="1">
      <alignment vertical="center"/>
    </xf>
    <xf numFmtId="165" fontId="6" fillId="4" borderId="24" xfId="0" applyNumberFormat="1" applyFont="1" applyFill="1" applyBorder="1" applyAlignment="1">
      <alignment vertical="center"/>
    </xf>
    <xf numFmtId="165" fontId="6" fillId="4" borderId="27" xfId="0" applyNumberFormat="1" applyFont="1" applyFill="1" applyBorder="1" applyAlignment="1">
      <alignment vertical="center"/>
    </xf>
    <xf numFmtId="0" fontId="23" fillId="4" borderId="28" xfId="0" applyFont="1" applyFill="1" applyBorder="1" applyAlignment="1">
      <alignment horizontal="left" vertical="center" indent="2"/>
    </xf>
    <xf numFmtId="0" fontId="23" fillId="4" borderId="9" xfId="0" applyNumberFormat="1" applyFont="1" applyFill="1" applyBorder="1" applyAlignment="1">
      <alignment vertical="center"/>
    </xf>
    <xf numFmtId="165" fontId="23" fillId="4" borderId="10" xfId="0" applyNumberFormat="1" applyFont="1" applyFill="1" applyBorder="1" applyAlignment="1">
      <alignment vertical="center"/>
    </xf>
    <xf numFmtId="165" fontId="23" fillId="4" borderId="29" xfId="0" applyNumberFormat="1" applyFont="1" applyFill="1" applyBorder="1" applyAlignment="1">
      <alignment vertical="center"/>
    </xf>
    <xf numFmtId="165" fontId="23" fillId="2" borderId="28" xfId="0" applyNumberFormat="1" applyFont="1" applyFill="1" applyBorder="1" applyAlignment="1">
      <alignment vertical="center"/>
    </xf>
    <xf numFmtId="165" fontId="23" fillId="4" borderId="9" xfId="0" applyNumberFormat="1" applyFont="1" applyFill="1" applyBorder="1" applyAlignment="1">
      <alignment vertical="center"/>
    </xf>
    <xf numFmtId="165" fontId="23" fillId="4" borderId="11" xfId="0" applyNumberFormat="1" applyFont="1" applyFill="1" applyBorder="1" applyAlignment="1">
      <alignment vertical="center"/>
    </xf>
    <xf numFmtId="0" fontId="6" fillId="5" borderId="13" xfId="0" applyFont="1" applyFill="1" applyBorder="1" applyAlignment="1">
      <alignment vertical="center"/>
    </xf>
    <xf numFmtId="0" fontId="24" fillId="5" borderId="14" xfId="0" applyNumberFormat="1" applyFont="1" applyFill="1" applyBorder="1" applyAlignment="1">
      <alignment vertical="center"/>
    </xf>
    <xf numFmtId="165" fontId="24" fillId="5" borderId="15" xfId="0" applyNumberFormat="1" applyFont="1" applyFill="1" applyBorder="1" applyAlignment="1">
      <alignment vertical="center"/>
    </xf>
    <xf numFmtId="165" fontId="24" fillId="5" borderId="16" xfId="0" applyNumberFormat="1" applyFont="1" applyFill="1" applyBorder="1" applyAlignment="1">
      <alignment vertical="center"/>
    </xf>
    <xf numFmtId="165" fontId="24" fillId="2" borderId="17" xfId="0" applyNumberFormat="1" applyFont="1" applyFill="1" applyBorder="1" applyAlignment="1">
      <alignment vertical="center"/>
    </xf>
    <xf numFmtId="165" fontId="24" fillId="5" borderId="14" xfId="0" applyNumberFormat="1" applyFont="1" applyFill="1" applyBorder="1" applyAlignment="1">
      <alignment vertical="center"/>
    </xf>
    <xf numFmtId="165" fontId="24" fillId="5" borderId="30" xfId="0" applyNumberFormat="1" applyFont="1" applyFill="1" applyBorder="1" applyAlignment="1">
      <alignment vertical="center"/>
    </xf>
    <xf numFmtId="0" fontId="6" fillId="5" borderId="18" xfId="0" applyFont="1" applyFill="1" applyBorder="1" applyAlignment="1">
      <alignment horizontal="left" vertical="center" indent="2"/>
    </xf>
    <xf numFmtId="0" fontId="23" fillId="5" borderId="19" xfId="0" applyFont="1" applyFill="1" applyBorder="1" applyAlignment="1">
      <alignment horizontal="left" vertical="center" indent="2"/>
    </xf>
    <xf numFmtId="0" fontId="23" fillId="5" borderId="21" xfId="0" applyNumberFormat="1" applyFont="1" applyFill="1" applyBorder="1" applyAlignment="1">
      <alignment vertical="center"/>
    </xf>
    <xf numFmtId="165" fontId="23" fillId="5" borderId="21" xfId="0" applyNumberFormat="1" applyFont="1" applyFill="1" applyBorder="1" applyAlignment="1">
      <alignment vertical="center"/>
    </xf>
    <xf numFmtId="0" fontId="23" fillId="6" borderId="6" xfId="0" applyNumberFormat="1" applyFont="1" applyFill="1" applyBorder="1" applyAlignment="1">
      <alignment vertical="center"/>
    </xf>
    <xf numFmtId="165" fontId="23" fillId="6" borderId="2" xfId="0" applyNumberFormat="1" applyFont="1" applyFill="1" applyBorder="1" applyAlignment="1">
      <alignment vertical="center"/>
    </xf>
    <xf numFmtId="165" fontId="23" fillId="6" borderId="7" xfId="0" applyNumberFormat="1" applyFont="1" applyFill="1" applyBorder="1" applyAlignment="1">
      <alignment vertical="center"/>
    </xf>
    <xf numFmtId="0" fontId="6" fillId="6" borderId="6" xfId="0" applyNumberFormat="1" applyFont="1" applyFill="1" applyBorder="1" applyAlignment="1">
      <alignment vertical="center"/>
    </xf>
    <xf numFmtId="165" fontId="6" fillId="6" borderId="2" xfId="0" applyNumberFormat="1" applyFont="1" applyFill="1" applyBorder="1" applyAlignment="1">
      <alignment vertical="center"/>
    </xf>
    <xf numFmtId="165" fontId="6" fillId="6" borderId="7" xfId="0" applyNumberFormat="1" applyFont="1" applyFill="1" applyBorder="1" applyAlignment="1">
      <alignment vertical="center"/>
    </xf>
    <xf numFmtId="0" fontId="23" fillId="6" borderId="21" xfId="0" applyNumberFormat="1" applyFont="1" applyFill="1" applyBorder="1" applyAlignment="1">
      <alignment vertical="center"/>
    </xf>
    <xf numFmtId="165" fontId="23" fillId="6" borderId="22" xfId="0" applyNumberFormat="1" applyFont="1" applyFill="1" applyBorder="1" applyAlignment="1">
      <alignment vertical="center"/>
    </xf>
    <xf numFmtId="165" fontId="23" fillId="6" borderId="23" xfId="0" applyNumberFormat="1" applyFont="1" applyFill="1" applyBorder="1" applyAlignment="1">
      <alignment vertical="center"/>
    </xf>
    <xf numFmtId="165" fontId="23" fillId="6" borderId="6" xfId="0" applyNumberFormat="1" applyFont="1" applyFill="1" applyBorder="1" applyAlignment="1">
      <alignment vertical="center"/>
    </xf>
    <xf numFmtId="165" fontId="6" fillId="6" borderId="6" xfId="0" applyNumberFormat="1" applyFont="1" applyFill="1" applyBorder="1" applyAlignment="1">
      <alignment vertical="center"/>
    </xf>
    <xf numFmtId="165" fontId="23" fillId="6" borderId="21" xfId="0" applyNumberFormat="1" applyFont="1" applyFill="1" applyBorder="1" applyAlignment="1">
      <alignment vertical="center"/>
    </xf>
    <xf numFmtId="165" fontId="6" fillId="6" borderId="14" xfId="0" applyNumberFormat="1" applyFont="1" applyFill="1" applyBorder="1" applyAlignment="1">
      <alignment vertical="center"/>
    </xf>
    <xf numFmtId="9" fontId="15" fillId="0" borderId="0" xfId="30" applyFont="1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/>
    <xf numFmtId="4" fontId="0" fillId="0" borderId="0" xfId="0" applyNumberFormat="1"/>
    <xf numFmtId="0" fontId="0" fillId="0" borderId="2" xfId="0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4" fontId="25" fillId="0" borderId="0" xfId="0" applyNumberFormat="1" applyFont="1" applyAlignment="1">
      <alignment horizontal="center"/>
    </xf>
    <xf numFmtId="0" fontId="0" fillId="0" borderId="0" xfId="0" applyFill="1" applyBorder="1" applyAlignment="1">
      <alignment horizontal="center"/>
    </xf>
    <xf numFmtId="165" fontId="24" fillId="5" borderId="6" xfId="0" applyNumberFormat="1" applyFont="1" applyFill="1" applyBorder="1" applyAlignment="1">
      <alignment vertical="center"/>
    </xf>
    <xf numFmtId="165" fontId="24" fillId="5" borderId="14" xfId="0" applyNumberFormat="1" applyFont="1" applyFill="1" applyBorder="1" applyAlignment="1">
      <alignment vertical="center"/>
    </xf>
    <xf numFmtId="165" fontId="23" fillId="5" borderId="21" xfId="0" applyNumberFormat="1" applyFont="1" applyFill="1" applyBorder="1" applyAlignment="1">
      <alignment vertical="center"/>
    </xf>
    <xf numFmtId="0" fontId="19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/>
    </xf>
    <xf numFmtId="0" fontId="28" fillId="0" borderId="2" xfId="0" applyFont="1" applyFill="1" applyBorder="1" applyAlignment="1">
      <alignment horizontal="center" vertical="center" wrapText="1"/>
    </xf>
    <xf numFmtId="9" fontId="0" fillId="0" borderId="0" xfId="0" applyNumberFormat="1" applyAlignment="1">
      <alignment vertical="center"/>
    </xf>
    <xf numFmtId="0" fontId="0" fillId="7" borderId="31" xfId="0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4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 wrapText="1"/>
    </xf>
    <xf numFmtId="0" fontId="31" fillId="0" borderId="10" xfId="4" applyFont="1" applyFill="1" applyBorder="1" applyAlignment="1">
      <alignment horizontal="center" vertical="center" wrapText="1"/>
    </xf>
    <xf numFmtId="4" fontId="14" fillId="0" borderId="29" xfId="0" applyNumberFormat="1" applyFont="1" applyFill="1" applyBorder="1" applyAlignment="1">
      <alignment horizontal="center" vertical="center"/>
    </xf>
    <xf numFmtId="4" fontId="1" fillId="0" borderId="10" xfId="4" applyNumberFormat="1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31" fillId="0" borderId="2" xfId="4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31" fillId="0" borderId="2" xfId="4" applyFont="1" applyFill="1" applyBorder="1" applyAlignment="1">
      <alignment horizontal="center" vertical="center" wrapText="1"/>
    </xf>
    <xf numFmtId="0" fontId="31" fillId="0" borderId="2" xfId="4" applyFont="1" applyBorder="1" applyAlignment="1">
      <alignment horizontal="center" vertical="center" wrapText="1"/>
    </xf>
    <xf numFmtId="0" fontId="31" fillId="6" borderId="2" xfId="4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0" fontId="28" fillId="0" borderId="2" xfId="4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 wrapText="1"/>
    </xf>
    <xf numFmtId="0" fontId="28" fillId="0" borderId="2" xfId="4" applyFont="1" applyFill="1" applyBorder="1" applyAlignment="1">
      <alignment horizontal="center" vertical="center" wrapText="1"/>
    </xf>
    <xf numFmtId="9" fontId="28" fillId="0" borderId="2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4" fontId="19" fillId="0" borderId="2" xfId="0" applyNumberFormat="1" applyFont="1" applyFill="1" applyBorder="1" applyAlignment="1">
      <alignment horizontal="right" vertical="center" wrapText="1"/>
    </xf>
    <xf numFmtId="4" fontId="19" fillId="0" borderId="2" xfId="0" applyNumberFormat="1" applyFont="1" applyBorder="1" applyAlignment="1">
      <alignment horizontal="right" vertical="center" wrapText="1"/>
    </xf>
    <xf numFmtId="9" fontId="14" fillId="6" borderId="2" xfId="0" applyNumberFormat="1" applyFont="1" applyFill="1" applyBorder="1" applyAlignment="1">
      <alignment horizontal="center" vertical="center"/>
    </xf>
    <xf numFmtId="4" fontId="19" fillId="0" borderId="2" xfId="0" applyNumberFormat="1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" fontId="14" fillId="0" borderId="7" xfId="0" applyNumberFormat="1" applyFont="1" applyFill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 wrapText="1"/>
    </xf>
    <xf numFmtId="168" fontId="31" fillId="0" borderId="10" xfId="0" applyNumberFormat="1" applyFont="1" applyBorder="1" applyAlignment="1">
      <alignment horizontal="center" vertical="center"/>
    </xf>
    <xf numFmtId="168" fontId="31" fillId="0" borderId="2" xfId="0" applyNumberFormat="1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 wrapText="1"/>
    </xf>
    <xf numFmtId="49" fontId="28" fillId="0" borderId="2" xfId="0" applyNumberFormat="1" applyFont="1" applyFill="1" applyBorder="1" applyAlignment="1">
      <alignment horizontal="center" vertical="center" wrapText="1"/>
    </xf>
    <xf numFmtId="168" fontId="28" fillId="0" borderId="10" xfId="0" applyNumberFormat="1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166" fontId="28" fillId="0" borderId="25" xfId="0" applyNumberFormat="1" applyFont="1" applyFill="1" applyBorder="1" applyAlignment="1">
      <alignment horizontal="center" vertical="center"/>
    </xf>
    <xf numFmtId="166" fontId="1" fillId="6" borderId="2" xfId="0" applyNumberFormat="1" applyFont="1" applyFill="1" applyBorder="1" applyAlignment="1">
      <alignment horizontal="center" vertical="center"/>
    </xf>
    <xf numFmtId="4" fontId="1" fillId="0" borderId="2" xfId="4" applyNumberFormat="1" applyFont="1" applyBorder="1" applyAlignment="1">
      <alignment horizontal="center" vertical="center"/>
    </xf>
    <xf numFmtId="4" fontId="28" fillId="0" borderId="2" xfId="4" applyNumberFormat="1" applyFont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 wrapText="1"/>
    </xf>
    <xf numFmtId="166" fontId="1" fillId="0" borderId="2" xfId="0" applyNumberFormat="1" applyFont="1" applyFill="1" applyBorder="1" applyAlignment="1">
      <alignment horizontal="center" vertical="center"/>
    </xf>
    <xf numFmtId="166" fontId="1" fillId="0" borderId="25" xfId="0" applyNumberFormat="1" applyFont="1" applyFill="1" applyBorder="1" applyAlignment="1">
      <alignment horizontal="center" vertical="center"/>
    </xf>
    <xf numFmtId="0" fontId="31" fillId="0" borderId="2" xfId="16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/>
    </xf>
    <xf numFmtId="4" fontId="28" fillId="0" borderId="7" xfId="0" applyNumberFormat="1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/>
    </xf>
    <xf numFmtId="4" fontId="32" fillId="0" borderId="2" xfId="4" applyNumberFormat="1" applyFont="1" applyFill="1" applyBorder="1" applyAlignment="1">
      <alignment horizontal="center" vertical="center"/>
    </xf>
    <xf numFmtId="4" fontId="14" fillId="0" borderId="2" xfId="4" applyNumberFormat="1" applyFont="1" applyFill="1" applyBorder="1" applyAlignment="1">
      <alignment horizontal="center" vertical="center"/>
    </xf>
    <xf numFmtId="0" fontId="31" fillId="0" borderId="10" xfId="4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166" fontId="1" fillId="0" borderId="10" xfId="0" applyNumberFormat="1" applyFont="1" applyFill="1" applyBorder="1" applyAlignment="1">
      <alignment horizontal="center" vertical="center"/>
    </xf>
    <xf numFmtId="166" fontId="14" fillId="6" borderId="2" xfId="0" applyNumberFormat="1" applyFont="1" applyFill="1" applyBorder="1" applyAlignment="1">
      <alignment horizontal="center" vertical="center"/>
    </xf>
    <xf numFmtId="4" fontId="32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8" fillId="0" borderId="25" xfId="0" applyFont="1" applyFill="1" applyBorder="1" applyAlignment="1">
      <alignment horizontal="center" vertical="center" wrapText="1"/>
    </xf>
    <xf numFmtId="164" fontId="28" fillId="6" borderId="2" xfId="0" applyNumberFormat="1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166" fontId="28" fillId="0" borderId="2" xfId="0" applyNumberFormat="1" applyFont="1" applyFill="1" applyBorder="1" applyAlignment="1">
      <alignment horizontal="center" vertical="center"/>
    </xf>
    <xf numFmtId="0" fontId="28" fillId="0" borderId="2" xfId="16" applyFont="1" applyBorder="1" applyAlignment="1">
      <alignment horizontal="center" vertical="center" wrapText="1"/>
    </xf>
    <xf numFmtId="0" fontId="1" fillId="0" borderId="2" xfId="16" applyFont="1" applyFill="1" applyBorder="1" applyAlignment="1">
      <alignment horizontal="center" vertical="center" wrapText="1"/>
    </xf>
    <xf numFmtId="4" fontId="28" fillId="0" borderId="2" xfId="0" applyNumberFormat="1" applyFont="1" applyFill="1" applyBorder="1" applyAlignment="1">
      <alignment horizontal="center" vertical="center"/>
    </xf>
    <xf numFmtId="4" fontId="28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168" fontId="1" fillId="0" borderId="2" xfId="0" applyNumberFormat="1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31" fillId="0" borderId="0" xfId="0" applyFont="1"/>
    <xf numFmtId="166" fontId="33" fillId="6" borderId="2" xfId="0" applyNumberFormat="1" applyFont="1" applyFill="1" applyBorder="1" applyAlignment="1">
      <alignment horizontal="center" vertical="center"/>
    </xf>
    <xf numFmtId="4" fontId="33" fillId="0" borderId="2" xfId="0" applyNumberFormat="1" applyFont="1" applyFill="1" applyBorder="1" applyAlignment="1">
      <alignment horizontal="right" vertical="center" wrapText="1"/>
    </xf>
    <xf numFmtId="9" fontId="33" fillId="6" borderId="2" xfId="0" applyNumberFormat="1" applyFont="1" applyFill="1" applyBorder="1" applyAlignment="1">
      <alignment horizontal="center" vertical="center"/>
    </xf>
    <xf numFmtId="4" fontId="33" fillId="0" borderId="2" xfId="0" applyNumberFormat="1" applyFont="1" applyBorder="1" applyAlignment="1">
      <alignment horizontal="right" vertical="center" wrapText="1"/>
    </xf>
    <xf numFmtId="4" fontId="33" fillId="0" borderId="2" xfId="0" applyNumberFormat="1" applyFont="1" applyBorder="1" applyAlignment="1">
      <alignment horizontal="right" vertical="center"/>
    </xf>
    <xf numFmtId="4" fontId="31" fillId="0" borderId="0" xfId="0" applyNumberFormat="1" applyFont="1"/>
    <xf numFmtId="0" fontId="1" fillId="0" borderId="0" xfId="16" applyFont="1" applyFill="1" applyAlignment="1">
      <alignment vertical="center"/>
    </xf>
    <xf numFmtId="4" fontId="31" fillId="0" borderId="0" xfId="0" applyNumberFormat="1" applyFont="1" applyAlignment="1">
      <alignment vertical="center"/>
    </xf>
    <xf numFmtId="0" fontId="31" fillId="0" borderId="2" xfId="0" applyFont="1" applyFill="1" applyBorder="1" applyAlignment="1">
      <alignment horizontal="center" vertical="center"/>
    </xf>
    <xf numFmtId="0" fontId="1" fillId="0" borderId="10" xfId="16" applyFont="1" applyFill="1" applyBorder="1" applyAlignment="1">
      <alignment horizontal="center" vertical="center" wrapText="1"/>
    </xf>
    <xf numFmtId="0" fontId="28" fillId="0" borderId="2" xfId="16" applyFont="1" applyFill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167" fontId="28" fillId="0" borderId="2" xfId="32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7" xfId="0" applyFont="1" applyFill="1" applyBorder="1" applyAlignment="1">
      <alignment vertical="center" wrapText="1"/>
    </xf>
    <xf numFmtId="0" fontId="19" fillId="0" borderId="33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26" fillId="0" borderId="0" xfId="0" applyFont="1" applyAlignment="1">
      <alignment vertical="center"/>
    </xf>
    <xf numFmtId="166" fontId="1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9" fontId="1" fillId="0" borderId="2" xfId="29" applyFont="1" applyFill="1" applyBorder="1" applyAlignment="1">
      <alignment horizontal="center" vertical="center"/>
    </xf>
    <xf numFmtId="4" fontId="34" fillId="0" borderId="2" xfId="0" applyNumberFormat="1" applyFont="1" applyBorder="1" applyAlignment="1">
      <alignment horizontal="center" vertical="center" wrapText="1"/>
    </xf>
    <xf numFmtId="168" fontId="19" fillId="0" borderId="6" xfId="0" applyNumberFormat="1" applyFont="1" applyBorder="1" applyAlignment="1">
      <alignment horizontal="center" vertical="center" wrapText="1"/>
    </xf>
    <xf numFmtId="168" fontId="33" fillId="0" borderId="6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9" fontId="1" fillId="0" borderId="33" xfId="0" applyNumberFormat="1" applyFont="1" applyFill="1" applyBorder="1" applyAlignment="1">
      <alignment horizontal="center" vertical="center"/>
    </xf>
    <xf numFmtId="4" fontId="1" fillId="0" borderId="33" xfId="0" applyNumberFormat="1" applyFont="1" applyFill="1" applyBorder="1" applyAlignment="1">
      <alignment horizontal="center" vertical="center"/>
    </xf>
    <xf numFmtId="168" fontId="32" fillId="0" borderId="25" xfId="0" applyNumberFormat="1" applyFont="1" applyBorder="1" applyAlignment="1">
      <alignment horizontal="center" vertical="center"/>
    </xf>
    <xf numFmtId="4" fontId="32" fillId="0" borderId="25" xfId="0" applyNumberFormat="1" applyFont="1" applyFill="1" applyBorder="1" applyAlignment="1">
      <alignment horizontal="right" vertical="center"/>
    </xf>
    <xf numFmtId="2" fontId="28" fillId="0" borderId="2" xfId="0" applyNumberFormat="1" applyFont="1" applyBorder="1" applyAlignment="1">
      <alignment horizontal="center" vertical="center"/>
    </xf>
    <xf numFmtId="2" fontId="33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166" fontId="14" fillId="6" borderId="6" xfId="0" applyNumberFormat="1" applyFont="1" applyFill="1" applyBorder="1" applyAlignment="1">
      <alignment horizontal="center" vertical="center"/>
    </xf>
    <xf numFmtId="166" fontId="33" fillId="6" borderId="6" xfId="0" applyNumberFormat="1" applyFont="1" applyFill="1" applyBorder="1" applyAlignment="1">
      <alignment horizontal="center" vertical="center"/>
    </xf>
    <xf numFmtId="4" fontId="14" fillId="0" borderId="2" xfId="0" applyNumberFormat="1" applyFont="1" applyFill="1" applyBorder="1" applyAlignment="1">
      <alignment horizontal="center" vertical="center"/>
    </xf>
    <xf numFmtId="0" fontId="1" fillId="0" borderId="2" xfId="4" applyFont="1" applyFill="1" applyBorder="1" applyAlignment="1">
      <alignment horizontal="center" vertical="center" wrapText="1"/>
    </xf>
    <xf numFmtId="0" fontId="31" fillId="0" borderId="32" xfId="4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/>
    </xf>
    <xf numFmtId="4" fontId="32" fillId="0" borderId="2" xfId="0" applyNumberFormat="1" applyFont="1" applyFill="1" applyBorder="1" applyAlignment="1">
      <alignment horizontal="right" vertical="center"/>
    </xf>
    <xf numFmtId="9" fontId="1" fillId="0" borderId="25" xfId="0" applyNumberFormat="1" applyFont="1" applyFill="1" applyBorder="1" applyAlignment="1">
      <alignment horizontal="center" vertical="center"/>
    </xf>
    <xf numFmtId="9" fontId="1" fillId="0" borderId="10" xfId="0" applyNumberFormat="1" applyFont="1" applyFill="1" applyBorder="1" applyAlignment="1">
      <alignment horizontal="center" vertical="center"/>
    </xf>
    <xf numFmtId="0" fontId="34" fillId="0" borderId="6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9" fontId="15" fillId="7" borderId="0" xfId="30" applyFont="1" applyFill="1" applyBorder="1" applyAlignment="1">
      <alignment horizontal="center" vertical="center"/>
    </xf>
    <xf numFmtId="4" fontId="0" fillId="7" borderId="0" xfId="0" applyNumberFormat="1" applyFill="1" applyBorder="1" applyAlignment="1">
      <alignment horizontal="center" vertical="center"/>
    </xf>
    <xf numFmtId="0" fontId="0" fillId="7" borderId="0" xfId="0" applyFill="1" applyBorder="1" applyAlignment="1">
      <alignment horizontal="center"/>
    </xf>
    <xf numFmtId="0" fontId="33" fillId="0" borderId="2" xfId="0" applyFont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31" xfId="0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center" vertical="center"/>
    </xf>
    <xf numFmtId="2" fontId="1" fillId="0" borderId="6" xfId="0" applyNumberFormat="1" applyFont="1" applyFill="1" applyBorder="1" applyAlignment="1">
      <alignment horizontal="center" vertical="center"/>
    </xf>
    <xf numFmtId="4" fontId="33" fillId="0" borderId="2" xfId="0" applyNumberFormat="1" applyFont="1" applyBorder="1" applyAlignment="1">
      <alignment vertical="center" wrapText="1"/>
    </xf>
    <xf numFmtId="168" fontId="14" fillId="0" borderId="2" xfId="0" applyNumberFormat="1" applyFont="1" applyFill="1" applyBorder="1" applyAlignment="1">
      <alignment horizontal="center" vertical="center"/>
    </xf>
    <xf numFmtId="0" fontId="14" fillId="0" borderId="2" xfId="16" applyFont="1" applyBorder="1" applyAlignment="1">
      <alignment horizontal="center" vertical="center" wrapText="1"/>
    </xf>
    <xf numFmtId="4" fontId="32" fillId="0" borderId="2" xfId="4" applyNumberFormat="1" applyFont="1" applyFill="1" applyBorder="1" applyAlignment="1">
      <alignment horizontal="right" vertical="center"/>
    </xf>
    <xf numFmtId="9" fontId="14" fillId="0" borderId="2" xfId="29" applyFont="1" applyFill="1" applyBorder="1" applyAlignment="1">
      <alignment horizontal="right" vertical="center"/>
    </xf>
    <xf numFmtId="4" fontId="14" fillId="0" borderId="2" xfId="0" applyNumberFormat="1" applyFont="1" applyFill="1" applyBorder="1" applyAlignment="1">
      <alignment horizontal="right" vertical="center"/>
    </xf>
    <xf numFmtId="0" fontId="19" fillId="0" borderId="7" xfId="0" applyFont="1" applyBorder="1" applyAlignment="1">
      <alignment horizontal="center" vertical="center" wrapText="1"/>
    </xf>
    <xf numFmtId="0" fontId="28" fillId="0" borderId="2" xfId="16" applyFont="1" applyFill="1" applyBorder="1" applyAlignment="1">
      <alignment horizontal="center" wrapText="1"/>
    </xf>
    <xf numFmtId="4" fontId="28" fillId="0" borderId="2" xfId="16" applyNumberFormat="1" applyFont="1" applyFill="1" applyBorder="1" applyAlignment="1">
      <alignment horizontal="center" vertical="center" wrapText="1"/>
    </xf>
    <xf numFmtId="9" fontId="28" fillId="0" borderId="2" xfId="29" applyFont="1" applyFill="1" applyBorder="1" applyAlignment="1">
      <alignment horizontal="center" vertical="center" wrapText="1"/>
    </xf>
    <xf numFmtId="2" fontId="28" fillId="0" borderId="2" xfId="16" applyNumberFormat="1" applyFont="1" applyFill="1" applyBorder="1" applyAlignment="1">
      <alignment horizontal="center" vertical="center" wrapText="1"/>
    </xf>
    <xf numFmtId="0" fontId="18" fillId="0" borderId="0" xfId="0" applyFont="1"/>
    <xf numFmtId="0" fontId="22" fillId="0" borderId="7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vertical="center"/>
    </xf>
    <xf numFmtId="0" fontId="6" fillId="3" borderId="14" xfId="0" applyNumberFormat="1" applyFont="1" applyFill="1" applyBorder="1" applyAlignment="1">
      <alignment vertical="center"/>
    </xf>
    <xf numFmtId="165" fontId="6" fillId="3" borderId="15" xfId="0" applyNumberFormat="1" applyFont="1" applyFill="1" applyBorder="1" applyAlignment="1">
      <alignment vertical="center"/>
    </xf>
    <xf numFmtId="165" fontId="6" fillId="3" borderId="16" xfId="0" applyNumberFormat="1" applyFont="1" applyFill="1" applyBorder="1" applyAlignment="1">
      <alignment vertical="center"/>
    </xf>
    <xf numFmtId="165" fontId="6" fillId="3" borderId="14" xfId="0" applyNumberFormat="1" applyFont="1" applyFill="1" applyBorder="1" applyAlignment="1">
      <alignment vertical="center"/>
    </xf>
    <xf numFmtId="4" fontId="26" fillId="0" borderId="0" xfId="0" applyNumberFormat="1" applyFont="1" applyFill="1" applyBorder="1" applyAlignment="1">
      <alignment vertical="center"/>
    </xf>
    <xf numFmtId="0" fontId="35" fillId="0" borderId="0" xfId="0" applyFont="1"/>
    <xf numFmtId="0" fontId="26" fillId="0" borderId="0" xfId="0" applyFont="1" applyFill="1" applyBorder="1" applyAlignment="1">
      <alignment horizontal="center" vertical="center"/>
    </xf>
    <xf numFmtId="9" fontId="26" fillId="0" borderId="0" xfId="30" applyFont="1" applyFill="1" applyBorder="1" applyAlignment="1">
      <alignment horizontal="center" vertical="center"/>
    </xf>
    <xf numFmtId="4" fontId="26" fillId="0" borderId="0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9" fontId="26" fillId="0" borderId="0" xfId="30" applyFont="1" applyAlignment="1">
      <alignment horizontal="center" vertical="center"/>
    </xf>
    <xf numFmtId="4" fontId="26" fillId="0" borderId="0" xfId="0" applyNumberFormat="1" applyFont="1" applyAlignment="1">
      <alignment horizontal="center" vertical="center"/>
    </xf>
    <xf numFmtId="0" fontId="28" fillId="0" borderId="6" xfId="0" applyFont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164" fontId="28" fillId="6" borderId="2" xfId="0" applyNumberFormat="1" applyFont="1" applyFill="1" applyBorder="1" applyAlignment="1">
      <alignment horizontal="center" vertical="center"/>
    </xf>
    <xf numFmtId="4" fontId="33" fillId="0" borderId="2" xfId="0" applyNumberFormat="1" applyFont="1" applyFill="1" applyBorder="1" applyAlignment="1">
      <alignment horizontal="center" vertical="center"/>
    </xf>
    <xf numFmtId="4" fontId="33" fillId="0" borderId="7" xfId="0" applyNumberFormat="1" applyFont="1" applyFill="1" applyBorder="1" applyAlignment="1">
      <alignment horizontal="center" vertical="center"/>
    </xf>
    <xf numFmtId="4" fontId="33" fillId="0" borderId="2" xfId="0" applyNumberFormat="1" applyFont="1" applyBorder="1" applyAlignment="1">
      <alignment horizontal="center" vertical="center"/>
    </xf>
    <xf numFmtId="9" fontId="28" fillId="0" borderId="2" xfId="0" applyNumberFormat="1" applyFont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0" fontId="28" fillId="0" borderId="2" xfId="16" applyFont="1" applyBorder="1" applyAlignment="1">
      <alignment horizontal="center" vertical="center"/>
    </xf>
    <xf numFmtId="0" fontId="28" fillId="0" borderId="25" xfId="16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8" fillId="0" borderId="2" xfId="16" applyFont="1" applyFill="1" applyBorder="1" applyAlignment="1">
      <alignment horizontal="center" vertical="center"/>
    </xf>
    <xf numFmtId="4" fontId="18" fillId="0" borderId="0" xfId="0" applyNumberFormat="1" applyFont="1" applyAlignment="1">
      <alignment horizontal="center"/>
    </xf>
    <xf numFmtId="0" fontId="22" fillId="0" borderId="6" xfId="0" applyFont="1" applyBorder="1" applyAlignment="1">
      <alignment horizontal="center" vertical="center" wrapText="1"/>
    </xf>
    <xf numFmtId="4" fontId="26" fillId="0" borderId="0" xfId="0" applyNumberFormat="1" applyFont="1" applyAlignment="1">
      <alignment vertical="center"/>
    </xf>
    <xf numFmtId="2" fontId="28" fillId="0" borderId="7" xfId="16" applyNumberFormat="1" applyFont="1" applyFill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/>
    </xf>
    <xf numFmtId="2" fontId="28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Fill="1" applyBorder="1" applyAlignment="1">
      <alignment horizontal="center" vertical="center"/>
    </xf>
    <xf numFmtId="4" fontId="32" fillId="0" borderId="7" xfId="0" applyNumberFormat="1" applyFont="1" applyBorder="1" applyAlignment="1">
      <alignment horizontal="right" vertical="center"/>
    </xf>
    <xf numFmtId="4" fontId="33" fillId="0" borderId="7" xfId="0" applyNumberFormat="1" applyFont="1" applyBorder="1" applyAlignment="1">
      <alignment horizontal="right" vertical="center"/>
    </xf>
    <xf numFmtId="0" fontId="26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/>
    </xf>
    <xf numFmtId="9" fontId="26" fillId="0" borderId="0" xfId="30" applyFont="1" applyBorder="1" applyAlignment="1">
      <alignment horizontal="center" vertical="center"/>
    </xf>
    <xf numFmtId="4" fontId="26" fillId="0" borderId="0" xfId="0" applyNumberFormat="1" applyFont="1" applyBorder="1" applyAlignment="1">
      <alignment horizontal="center" vertical="center"/>
    </xf>
    <xf numFmtId="0" fontId="18" fillId="0" borderId="0" xfId="0" applyFont="1" applyBorder="1"/>
    <xf numFmtId="0" fontId="26" fillId="0" borderId="0" xfId="0" applyFont="1" applyBorder="1"/>
    <xf numFmtId="0" fontId="17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4" fontId="19" fillId="0" borderId="2" xfId="0" applyNumberFormat="1" applyFont="1" applyFill="1" applyBorder="1" applyAlignment="1">
      <alignment horizontal="center" vertical="center" wrapText="1"/>
    </xf>
    <xf numFmtId="4" fontId="19" fillId="0" borderId="2" xfId="0" applyNumberFormat="1" applyFont="1" applyBorder="1" applyAlignment="1">
      <alignment horizontal="center" vertical="center" wrapText="1"/>
    </xf>
    <xf numFmtId="4" fontId="33" fillId="0" borderId="2" xfId="16" applyNumberFormat="1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 wrapText="1"/>
    </xf>
    <xf numFmtId="4" fontId="14" fillId="0" borderId="10" xfId="4" applyNumberFormat="1" applyFont="1" applyFill="1" applyBorder="1" applyAlignment="1">
      <alignment horizontal="center" vertical="center"/>
    </xf>
    <xf numFmtId="4" fontId="14" fillId="0" borderId="10" xfId="0" applyNumberFormat="1" applyFont="1" applyFill="1" applyBorder="1" applyAlignment="1">
      <alignment horizontal="center" vertical="center" wrapText="1"/>
    </xf>
    <xf numFmtId="4" fontId="33" fillId="0" borderId="2" xfId="4" applyNumberFormat="1" applyFont="1" applyFill="1" applyBorder="1" applyAlignment="1">
      <alignment horizontal="center" vertical="center"/>
    </xf>
    <xf numFmtId="4" fontId="33" fillId="0" borderId="2" xfId="0" applyNumberFormat="1" applyFont="1" applyFill="1" applyBorder="1" applyAlignment="1">
      <alignment horizontal="center" vertical="center" wrapText="1"/>
    </xf>
    <xf numFmtId="0" fontId="14" fillId="0" borderId="33" xfId="0" applyFont="1" applyFill="1" applyBorder="1" applyAlignment="1">
      <alignment vertical="center" wrapText="1"/>
    </xf>
    <xf numFmtId="0" fontId="32" fillId="0" borderId="0" xfId="0" applyFont="1" applyFill="1"/>
    <xf numFmtId="0" fontId="32" fillId="0" borderId="0" xfId="0" applyFont="1"/>
    <xf numFmtId="0" fontId="32" fillId="0" borderId="0" xfId="0" applyFont="1" applyAlignment="1">
      <alignment vertical="center"/>
    </xf>
    <xf numFmtId="0" fontId="17" fillId="0" borderId="0" xfId="0" applyFont="1" applyFill="1" applyBorder="1"/>
    <xf numFmtId="0" fontId="17" fillId="0" borderId="0" xfId="0" applyFont="1" applyFill="1"/>
    <xf numFmtId="0" fontId="2" fillId="6" borderId="0" xfId="0" applyFont="1" applyFill="1" applyBorder="1" applyAlignment="1">
      <alignment vertical="center"/>
    </xf>
    <xf numFmtId="0" fontId="2" fillId="6" borderId="0" xfId="0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0" fontId="20" fillId="6" borderId="0" xfId="0" applyFont="1" applyFill="1"/>
    <xf numFmtId="0" fontId="3" fillId="6" borderId="0" xfId="0" applyFont="1" applyFill="1" applyAlignment="1">
      <alignment vertical="center"/>
    </xf>
    <xf numFmtId="0" fontId="3" fillId="6" borderId="0" xfId="0" applyFont="1" applyFill="1"/>
    <xf numFmtId="0" fontId="0" fillId="6" borderId="0" xfId="0" applyFill="1"/>
    <xf numFmtId="0" fontId="4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5" fillId="6" borderId="0" xfId="0" applyFont="1" applyFill="1" applyBorder="1" applyAlignment="1">
      <alignment vertical="center"/>
    </xf>
    <xf numFmtId="0" fontId="3" fillId="6" borderId="0" xfId="0" applyFont="1" applyFill="1" applyBorder="1" applyAlignment="1">
      <alignment vertical="center"/>
    </xf>
    <xf numFmtId="0" fontId="4" fillId="6" borderId="0" xfId="0" applyFont="1" applyFill="1" applyAlignment="1"/>
    <xf numFmtId="0" fontId="3" fillId="6" borderId="0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31" fillId="6" borderId="2" xfId="4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 wrapText="1"/>
    </xf>
    <xf numFmtId="168" fontId="31" fillId="6" borderId="10" xfId="0" applyNumberFormat="1" applyFont="1" applyFill="1" applyBorder="1" applyAlignment="1">
      <alignment horizontal="center" vertical="center"/>
    </xf>
    <xf numFmtId="9" fontId="1" fillId="6" borderId="2" xfId="0" applyNumberFormat="1" applyFont="1" applyFill="1" applyBorder="1" applyAlignment="1">
      <alignment horizontal="center" vertical="center"/>
    </xf>
    <xf numFmtId="4" fontId="1" fillId="6" borderId="7" xfId="0" applyNumberFormat="1" applyFont="1" applyFill="1" applyBorder="1" applyAlignment="1">
      <alignment horizontal="center" vertical="center"/>
    </xf>
    <xf numFmtId="4" fontId="1" fillId="6" borderId="2" xfId="0" applyNumberFormat="1" applyFont="1" applyFill="1" applyBorder="1" applyAlignment="1">
      <alignment horizontal="center" vertical="center"/>
    </xf>
    <xf numFmtId="4" fontId="1" fillId="6" borderId="2" xfId="4" applyNumberFormat="1" applyFont="1" applyFill="1" applyBorder="1" applyAlignment="1">
      <alignment horizontal="center" vertical="center"/>
    </xf>
    <xf numFmtId="0" fontId="0" fillId="6" borderId="0" xfId="0" applyFill="1" applyAlignment="1">
      <alignment horizontal="center"/>
    </xf>
    <xf numFmtId="4" fontId="34" fillId="6" borderId="2" xfId="0" applyNumberFormat="1" applyFont="1" applyFill="1" applyBorder="1" applyAlignment="1">
      <alignment horizontal="center" vertical="center" wrapText="1"/>
    </xf>
    <xf numFmtId="4" fontId="25" fillId="0" borderId="0" xfId="0" applyNumberFormat="1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4" fontId="18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9" fontId="15" fillId="0" borderId="0" xfId="30" applyFon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4" fontId="0" fillId="0" borderId="0" xfId="0" applyNumberFormat="1" applyBorder="1" applyAlignment="1">
      <alignment vertical="center"/>
    </xf>
    <xf numFmtId="0" fontId="28" fillId="0" borderId="2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164" fontId="28" fillId="0" borderId="2" xfId="0" applyNumberFormat="1" applyFont="1" applyFill="1" applyBorder="1" applyAlignment="1">
      <alignment horizontal="center" vertical="center" wrapText="1"/>
    </xf>
    <xf numFmtId="4" fontId="28" fillId="0" borderId="2" xfId="4" applyNumberFormat="1" applyFont="1" applyFill="1" applyBorder="1" applyAlignment="1">
      <alignment horizontal="center" vertical="center"/>
    </xf>
    <xf numFmtId="4" fontId="14" fillId="0" borderId="10" xfId="0" applyNumberFormat="1" applyFont="1" applyFill="1" applyBorder="1" applyAlignment="1">
      <alignment horizontal="center" vertical="center"/>
    </xf>
    <xf numFmtId="4" fontId="28" fillId="0" borderId="10" xfId="0" applyNumberFormat="1" applyFont="1" applyFill="1" applyBorder="1" applyAlignment="1">
      <alignment horizontal="center" vertical="center"/>
    </xf>
    <xf numFmtId="0" fontId="31" fillId="0" borderId="7" xfId="16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/>
    </xf>
    <xf numFmtId="4" fontId="32" fillId="0" borderId="0" xfId="0" applyNumberFormat="1" applyFont="1" applyAlignment="1">
      <alignment vertical="center"/>
    </xf>
    <xf numFmtId="4" fontId="17" fillId="0" borderId="0" xfId="0" applyNumberFormat="1" applyFont="1" applyAlignment="1">
      <alignment vertical="center"/>
    </xf>
    <xf numFmtId="4" fontId="14" fillId="0" borderId="0" xfId="0" applyNumberFormat="1" applyFont="1" applyFill="1" applyBorder="1" applyAlignment="1">
      <alignment horizontal="center" vertical="center"/>
    </xf>
    <xf numFmtId="9" fontId="0" fillId="0" borderId="0" xfId="0" applyNumberFormat="1" applyFill="1"/>
    <xf numFmtId="4" fontId="0" fillId="0" borderId="0" xfId="0" applyNumberFormat="1" applyBorder="1"/>
    <xf numFmtId="4" fontId="14" fillId="0" borderId="1" xfId="0" applyNumberFormat="1" applyFont="1" applyFill="1" applyBorder="1" applyAlignment="1">
      <alignment horizontal="center" vertical="center"/>
    </xf>
    <xf numFmtId="164" fontId="1" fillId="0" borderId="10" xfId="0" applyNumberFormat="1" applyFont="1" applyFill="1" applyBorder="1" applyAlignment="1">
      <alignment horizontal="center" vertical="center" wrapText="1"/>
    </xf>
    <xf numFmtId="4" fontId="32" fillId="0" borderId="10" xfId="4" applyNumberFormat="1" applyFont="1" applyFill="1" applyBorder="1" applyAlignment="1">
      <alignment horizontal="center" vertical="center"/>
    </xf>
    <xf numFmtId="0" fontId="27" fillId="6" borderId="31" xfId="0" applyFont="1" applyFill="1" applyBorder="1" applyAlignment="1">
      <alignment horizontal="center" vertical="center" wrapText="1"/>
    </xf>
    <xf numFmtId="0" fontId="4" fillId="6" borderId="35" xfId="0" applyFont="1" applyFill="1" applyBorder="1" applyAlignment="1">
      <alignment horizontal="center" vertical="center"/>
    </xf>
    <xf numFmtId="0" fontId="4" fillId="6" borderId="36" xfId="0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4" fillId="6" borderId="38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4" fillId="6" borderId="39" xfId="0" applyFont="1" applyFill="1" applyBorder="1" applyAlignment="1">
      <alignment horizontal="center" vertical="center"/>
    </xf>
    <xf numFmtId="0" fontId="3" fillId="6" borderId="40" xfId="0" applyFont="1" applyFill="1" applyBorder="1" applyAlignment="1">
      <alignment horizontal="center" vertical="center"/>
    </xf>
    <xf numFmtId="0" fontId="3" fillId="6" borderId="31" xfId="0" applyFont="1" applyFill="1" applyBorder="1" applyAlignment="1">
      <alignment horizontal="center" vertical="center"/>
    </xf>
    <xf numFmtId="0" fontId="3" fillId="6" borderId="41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 shrinkToFit="1"/>
    </xf>
    <xf numFmtId="0" fontId="32" fillId="0" borderId="2" xfId="0" applyFont="1" applyFill="1" applyBorder="1" applyAlignment="1">
      <alignment horizontal="center" vertical="center" wrapText="1" shrinkToFit="1"/>
    </xf>
    <xf numFmtId="0" fontId="19" fillId="0" borderId="29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33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33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33" xfId="0" applyFont="1" applyBorder="1" applyAlignment="1">
      <alignment horizontal="center" vertical="center" wrapText="1"/>
    </xf>
  </cellXfs>
  <cellStyles count="35">
    <cellStyle name="Dziesiętny 2" xfId="1"/>
    <cellStyle name="Dziesiętny 2 2" xfId="2"/>
    <cellStyle name="Dziesiętny 3" xfId="3"/>
    <cellStyle name="Normalny" xfId="0" builtinId="0"/>
    <cellStyle name="Normalny 2" xfId="4"/>
    <cellStyle name="Normalny 2 2" xfId="5"/>
    <cellStyle name="Normalny 2 2 2" xfId="6"/>
    <cellStyle name="Normalny 2 2 2 2" xfId="7"/>
    <cellStyle name="Normalny 2 2 3" xfId="8"/>
    <cellStyle name="Normalny 2 2 3 2" xfId="9"/>
    <cellStyle name="Normalny 2 2 4" xfId="10"/>
    <cellStyle name="Normalny 2 3" xfId="11"/>
    <cellStyle name="Normalny 2 3 2" xfId="12"/>
    <cellStyle name="Normalny 2 4" xfId="13"/>
    <cellStyle name="Normalny 2 5" xfId="14"/>
    <cellStyle name="Normalny 2 6" xfId="15"/>
    <cellStyle name="Normalny 3" xfId="16"/>
    <cellStyle name="Normalny 3 2" xfId="17"/>
    <cellStyle name="Normalny 3 3" xfId="18"/>
    <cellStyle name="Normalny 4" xfId="19"/>
    <cellStyle name="Normalny 4 2" xfId="20"/>
    <cellStyle name="Normalny 4 2 2" xfId="21"/>
    <cellStyle name="Normalny 5" xfId="22"/>
    <cellStyle name="Normalny 5 2" xfId="23"/>
    <cellStyle name="Normalny 5 2 2" xfId="24"/>
    <cellStyle name="Normalny 5 3" xfId="25"/>
    <cellStyle name="Normalny 6" xfId="26"/>
    <cellStyle name="Normalny 7" xfId="27"/>
    <cellStyle name="Normalny 8" xfId="28"/>
    <cellStyle name="Procentowy" xfId="29" builtinId="5"/>
    <cellStyle name="Procentowy 2" xfId="30"/>
    <cellStyle name="Procentowy 3" xfId="31"/>
    <cellStyle name="Walutowy" xfId="32" builtinId="4"/>
    <cellStyle name="Walutowy 2" xfId="33"/>
    <cellStyle name="Walutowy 3" xfId="34"/>
  </cellStyles>
  <dxfs count="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X42"/>
  <sheetViews>
    <sheetView view="pageBreakPreview" zoomScaleNormal="100" zoomScaleSheetLayoutView="100" workbookViewId="0">
      <selection activeCell="G14" sqref="G14"/>
    </sheetView>
  </sheetViews>
  <sheetFormatPr defaultColWidth="9.140625" defaultRowHeight="15" x14ac:dyDescent="0.25"/>
  <cols>
    <col min="1" max="1" width="32.140625" style="8" customWidth="1"/>
    <col min="2" max="2" width="10.7109375" style="8" customWidth="1"/>
    <col min="3" max="5" width="20.7109375" style="8" customWidth="1"/>
    <col min="6" max="6" width="15.7109375" style="8" customWidth="1"/>
    <col min="7" max="7" width="17.140625" style="8" customWidth="1"/>
    <col min="8" max="15" width="15.7109375" style="8" customWidth="1"/>
    <col min="16" max="16" width="9.140625" style="8"/>
    <col min="17" max="17" width="11.7109375" style="8" bestFit="1" customWidth="1"/>
    <col min="18" max="16384" width="9.140625" style="3"/>
  </cols>
  <sheetData>
    <row r="1" spans="1:24" s="345" customFormat="1" ht="42" customHeight="1" thickBot="1" x14ac:dyDescent="0.35">
      <c r="A1" s="342" t="s">
        <v>325</v>
      </c>
      <c r="B1" s="343"/>
      <c r="C1" s="343"/>
      <c r="D1" s="343"/>
      <c r="E1" s="343"/>
      <c r="F1" s="343"/>
      <c r="G1" s="388" t="s">
        <v>354</v>
      </c>
      <c r="H1" s="388"/>
      <c r="I1" s="343"/>
      <c r="J1" s="343"/>
      <c r="K1" s="343"/>
      <c r="L1" s="343"/>
      <c r="M1" s="343"/>
      <c r="N1" s="343"/>
      <c r="O1" s="343"/>
      <c r="P1" s="343"/>
      <c r="Q1" s="343"/>
      <c r="R1" s="344"/>
      <c r="S1" s="344"/>
      <c r="T1" s="344"/>
      <c r="U1" s="344"/>
      <c r="V1" s="344"/>
      <c r="W1" s="344"/>
      <c r="X1" s="344"/>
    </row>
    <row r="2" spans="1:24" s="348" customFormat="1" x14ac:dyDescent="0.25">
      <c r="A2" s="346"/>
      <c r="B2" s="346"/>
      <c r="C2" s="346"/>
      <c r="D2" s="346"/>
      <c r="E2" s="346"/>
      <c r="F2" s="389" t="s">
        <v>17</v>
      </c>
      <c r="G2" s="390"/>
      <c r="H2" s="390"/>
      <c r="I2" s="390"/>
      <c r="J2" s="390"/>
      <c r="K2" s="390"/>
      <c r="L2" s="390"/>
      <c r="M2" s="390"/>
      <c r="N2" s="391"/>
      <c r="O2" s="346"/>
      <c r="P2" s="346"/>
      <c r="Q2" s="346"/>
      <c r="R2" s="347"/>
      <c r="S2" s="347"/>
      <c r="T2" s="347"/>
      <c r="U2" s="347"/>
      <c r="V2" s="347"/>
      <c r="W2" s="347"/>
      <c r="X2" s="347"/>
    </row>
    <row r="3" spans="1:24" s="348" customFormat="1" x14ac:dyDescent="0.25">
      <c r="A3" s="349"/>
      <c r="B3" s="346"/>
      <c r="C3" s="346"/>
      <c r="D3" s="346"/>
      <c r="E3" s="346"/>
      <c r="F3" s="392"/>
      <c r="G3" s="393"/>
      <c r="H3" s="393"/>
      <c r="I3" s="393"/>
      <c r="J3" s="393"/>
      <c r="K3" s="393"/>
      <c r="L3" s="393"/>
      <c r="M3" s="393"/>
      <c r="N3" s="394"/>
      <c r="O3" s="350"/>
      <c r="P3" s="350"/>
      <c r="Q3" s="350"/>
      <c r="X3" s="347"/>
    </row>
    <row r="4" spans="1:24" s="348" customFormat="1" x14ac:dyDescent="0.25">
      <c r="A4" s="351" t="s">
        <v>327</v>
      </c>
      <c r="B4" s="352"/>
      <c r="C4" s="352"/>
      <c r="D4" s="352"/>
      <c r="E4" s="352"/>
      <c r="F4" s="392"/>
      <c r="G4" s="393"/>
      <c r="H4" s="393"/>
      <c r="I4" s="393"/>
      <c r="J4" s="393"/>
      <c r="K4" s="393"/>
      <c r="L4" s="393"/>
      <c r="M4" s="393"/>
      <c r="N4" s="394"/>
      <c r="O4" s="350"/>
      <c r="P4" s="350"/>
      <c r="Q4" s="350"/>
      <c r="X4" s="353"/>
    </row>
    <row r="5" spans="1:24" s="348" customFormat="1" x14ac:dyDescent="0.25">
      <c r="A5" s="352"/>
      <c r="B5" s="352"/>
      <c r="C5" s="352"/>
      <c r="D5" s="352"/>
      <c r="E5" s="352"/>
      <c r="F5" s="392"/>
      <c r="G5" s="393"/>
      <c r="H5" s="393"/>
      <c r="I5" s="393"/>
      <c r="J5" s="393"/>
      <c r="K5" s="393"/>
      <c r="L5" s="393"/>
      <c r="M5" s="393"/>
      <c r="N5" s="394"/>
      <c r="O5" s="350"/>
      <c r="P5" s="350"/>
      <c r="Q5" s="350"/>
      <c r="X5" s="347"/>
    </row>
    <row r="6" spans="1:24" s="348" customFormat="1" x14ac:dyDescent="0.25">
      <c r="A6" s="351" t="s">
        <v>328</v>
      </c>
      <c r="B6" s="352"/>
      <c r="C6" s="352"/>
      <c r="D6" s="352"/>
      <c r="E6" s="352"/>
      <c r="F6" s="392"/>
      <c r="G6" s="393"/>
      <c r="H6" s="393"/>
      <c r="I6" s="393"/>
      <c r="J6" s="393"/>
      <c r="K6" s="393"/>
      <c r="L6" s="393"/>
      <c r="M6" s="393"/>
      <c r="N6" s="394"/>
      <c r="O6" s="350"/>
      <c r="P6" s="350"/>
      <c r="Q6" s="350"/>
      <c r="X6" s="353"/>
    </row>
    <row r="7" spans="1:24" s="348" customFormat="1" ht="15.75" thickBot="1" x14ac:dyDescent="0.3">
      <c r="A7" s="352"/>
      <c r="B7" s="352"/>
      <c r="C7" s="352"/>
      <c r="D7" s="352"/>
      <c r="E7" s="352"/>
      <c r="F7" s="395" t="s">
        <v>18</v>
      </c>
      <c r="G7" s="396"/>
      <c r="H7" s="396"/>
      <c r="I7" s="396"/>
      <c r="J7" s="396"/>
      <c r="K7" s="396"/>
      <c r="L7" s="396"/>
      <c r="M7" s="396"/>
      <c r="N7" s="397"/>
      <c r="O7" s="350"/>
      <c r="P7" s="350"/>
      <c r="Q7" s="350"/>
      <c r="X7" s="347"/>
    </row>
    <row r="8" spans="1:24" s="348" customFormat="1" x14ac:dyDescent="0.25">
      <c r="A8" s="352"/>
      <c r="B8" s="352"/>
      <c r="C8" s="352"/>
      <c r="D8" s="352"/>
      <c r="E8" s="352"/>
      <c r="F8" s="354"/>
      <c r="G8" s="354"/>
      <c r="H8" s="354"/>
      <c r="I8" s="354"/>
      <c r="J8" s="354"/>
      <c r="K8" s="354"/>
      <c r="L8" s="354"/>
      <c r="M8" s="354"/>
      <c r="N8" s="354"/>
      <c r="O8" s="350"/>
      <c r="P8" s="350"/>
      <c r="Q8" s="350"/>
      <c r="X8" s="347"/>
    </row>
    <row r="9" spans="1:24" s="348" customFormat="1" ht="20.100000000000001" customHeight="1" thickBot="1" x14ac:dyDescent="0.3">
      <c r="A9" s="351" t="s">
        <v>0</v>
      </c>
      <c r="B9" s="352"/>
      <c r="C9" s="352"/>
      <c r="D9" s="352"/>
      <c r="E9" s="352"/>
      <c r="F9" s="354"/>
      <c r="G9" s="354"/>
      <c r="H9" s="354"/>
      <c r="I9" s="354"/>
      <c r="J9" s="354"/>
      <c r="K9" s="354"/>
      <c r="L9" s="354"/>
      <c r="M9" s="354"/>
      <c r="N9" s="354"/>
      <c r="O9" s="350"/>
      <c r="P9" s="350"/>
      <c r="Q9" s="350"/>
      <c r="X9" s="347"/>
    </row>
    <row r="10" spans="1:24" ht="20.100000000000001" customHeight="1" x14ac:dyDescent="0.25">
      <c r="A10" s="398" t="s">
        <v>1</v>
      </c>
      <c r="B10" s="400" t="s">
        <v>34</v>
      </c>
      <c r="C10" s="402" t="s">
        <v>19</v>
      </c>
      <c r="D10" s="404" t="s">
        <v>20</v>
      </c>
      <c r="E10" s="406" t="s">
        <v>21</v>
      </c>
      <c r="F10" s="408" t="s">
        <v>11</v>
      </c>
      <c r="G10" s="409"/>
      <c r="H10" s="409"/>
      <c r="I10" s="409"/>
      <c r="J10" s="409"/>
      <c r="K10" s="409"/>
      <c r="L10" s="409"/>
      <c r="M10" s="409"/>
      <c r="N10" s="409"/>
      <c r="O10" s="410"/>
      <c r="P10" s="22"/>
      <c r="Q10" s="22"/>
      <c r="R10" s="2"/>
      <c r="S10" s="2"/>
      <c r="T10" s="2"/>
      <c r="U10" s="2"/>
      <c r="X10" s="7"/>
    </row>
    <row r="11" spans="1:24" s="1" customFormat="1" ht="20.100000000000001" customHeight="1" thickBot="1" x14ac:dyDescent="0.3">
      <c r="A11" s="399"/>
      <c r="B11" s="401"/>
      <c r="C11" s="403"/>
      <c r="D11" s="405"/>
      <c r="E11" s="407"/>
      <c r="F11" s="55">
        <v>2019</v>
      </c>
      <c r="G11" s="56">
        <v>2020</v>
      </c>
      <c r="H11" s="56">
        <v>2021</v>
      </c>
      <c r="I11" s="56">
        <v>2022</v>
      </c>
      <c r="J11" s="56">
        <v>2023</v>
      </c>
      <c r="K11" s="56">
        <v>2024</v>
      </c>
      <c r="L11" s="56">
        <v>2025</v>
      </c>
      <c r="M11" s="56">
        <v>2026</v>
      </c>
      <c r="N11" s="56">
        <v>2027</v>
      </c>
      <c r="O11" s="57">
        <v>2028</v>
      </c>
      <c r="P11" s="9"/>
      <c r="Q11" s="9"/>
      <c r="R11" s="9"/>
      <c r="S11" s="9"/>
      <c r="T11" s="9"/>
      <c r="U11" s="9"/>
      <c r="V11" s="10"/>
      <c r="W11" s="10"/>
      <c r="X11" s="10"/>
    </row>
    <row r="12" spans="1:24" ht="39.950000000000003" customHeight="1" thickTop="1" x14ac:dyDescent="0.25">
      <c r="A12" s="59" t="s">
        <v>36</v>
      </c>
      <c r="B12" s="60">
        <f>COUNTA('pow podst'!L3:L17)</f>
        <v>15</v>
      </c>
      <c r="C12" s="61">
        <f>SUM('pow podst'!J3:J17)</f>
        <v>44086643.399999999</v>
      </c>
      <c r="D12" s="62">
        <f>SUM('pow podst'!L3:L17)</f>
        <v>24509462.399999999</v>
      </c>
      <c r="E12" s="63">
        <f>SUM('pow podst'!K3:K17)</f>
        <v>19577180.999999996</v>
      </c>
      <c r="F12" s="64">
        <f>SUM('pow podst'!N3:N17)</f>
        <v>0</v>
      </c>
      <c r="G12" s="64">
        <f>SUM('pow podst'!O3:O17)</f>
        <v>1850466.57</v>
      </c>
      <c r="H12" s="64">
        <f>SUM('pow podst'!P3:P17)</f>
        <v>17059295.57</v>
      </c>
      <c r="I12" s="64">
        <f>SUM('pow podst'!Q3:Q17)</f>
        <v>667418.86</v>
      </c>
      <c r="J12" s="64">
        <f>SUM('pow podst'!R3:R17)</f>
        <v>0</v>
      </c>
      <c r="K12" s="64">
        <f>SUM('pow podst'!S3:S17)</f>
        <v>0</v>
      </c>
      <c r="L12" s="64">
        <f>SUM('pow podst'!T3:T17)</f>
        <v>0</v>
      </c>
      <c r="M12" s="64">
        <f>SUM('pow podst'!U3:U17)</f>
        <v>0</v>
      </c>
      <c r="N12" s="64">
        <f>SUM('pow podst'!V3:V17)</f>
        <v>0</v>
      </c>
      <c r="O12" s="64">
        <f>SUM('pow podst'!W3:W17)</f>
        <v>0</v>
      </c>
      <c r="P12" s="11" t="b">
        <f>C12=(D12+E12)</f>
        <v>1</v>
      </c>
      <c r="Q12" s="31" t="b">
        <f>E12=SUM(F12:O12)</f>
        <v>1</v>
      </c>
      <c r="R12" s="12"/>
      <c r="S12" s="12"/>
      <c r="T12" s="13"/>
      <c r="U12" s="13"/>
      <c r="V12" s="14"/>
      <c r="W12" s="7"/>
      <c r="X12" s="7"/>
    </row>
    <row r="13" spans="1:24" ht="39.950000000000003" customHeight="1" x14ac:dyDescent="0.25">
      <c r="A13" s="65" t="s">
        <v>37</v>
      </c>
      <c r="B13" s="100">
        <f>COUNTIF('pow podst'!C3:C17,"K")</f>
        <v>1</v>
      </c>
      <c r="C13" s="101">
        <f>SUMIF('pow podst'!C3:C17,"K",'pow podst'!J3:J17)</f>
        <v>7120893.6500000004</v>
      </c>
      <c r="D13" s="102">
        <f>SUMIF('pow podst'!C3:C17,"K",'pow podst'!L3:L17)</f>
        <v>3560446.8200000003</v>
      </c>
      <c r="E13" s="37">
        <f>SUMIF('pow podst'!C3:C17,"K",'pow podst'!K3:K17)</f>
        <v>3560446.83</v>
      </c>
      <c r="F13" s="109">
        <f>SUMIF('pow podst'!C3:C17,"K",'pow podst'!N3:N17)</f>
        <v>0</v>
      </c>
      <c r="G13" s="101">
        <f>SUMIF('pow podst'!C3:C17,"K",'pow podst'!O3:O17)</f>
        <v>1850466.57</v>
      </c>
      <c r="H13" s="101">
        <f>SUMIF('pow podst'!C3:C17,"K",'pow podst'!P3:P17)</f>
        <v>1709980.26</v>
      </c>
      <c r="I13" s="101">
        <f>SUMIF('pow podst'!C3:C17,"K",'pow podst'!Q3:Q17)</f>
        <v>0</v>
      </c>
      <c r="J13" s="101">
        <f>SUMIF('pow podst'!C3:C17,"K",'pow podst'!R3:R17)</f>
        <v>0</v>
      </c>
      <c r="K13" s="101">
        <f>SUMIF('pow podst'!C3:C17,"K",'pow podst'!S3:S17)</f>
        <v>0</v>
      </c>
      <c r="L13" s="101">
        <f>SUMIF('pow podst'!C3:C17,"K",'pow podst'!T3:T17)</f>
        <v>0</v>
      </c>
      <c r="M13" s="101">
        <f>SUMIF('pow podst'!C3:C17,"K",'pow podst'!U3:U17)</f>
        <v>0</v>
      </c>
      <c r="N13" s="101">
        <f>SUMIF('pow podst'!C3:C17,"K",'pow podst'!V3:V17)</f>
        <v>0</v>
      </c>
      <c r="O13" s="101">
        <f ca="1">SUMIF('pow podst'!C3:I17,"K",'pow podst'!W3:W17)</f>
        <v>0</v>
      </c>
      <c r="P13" s="11" t="b">
        <f t="shared" ref="P13:P22" si="0">C13=(D13+E13)</f>
        <v>1</v>
      </c>
      <c r="Q13" s="31" t="b">
        <f t="shared" ref="Q13:Q19" ca="1" si="1">E13=SUM(F13:O13)</f>
        <v>1</v>
      </c>
      <c r="R13" s="12"/>
      <c r="S13" s="12"/>
      <c r="T13" s="13"/>
      <c r="U13" s="13"/>
      <c r="V13" s="14"/>
      <c r="W13" s="7"/>
      <c r="X13" s="7"/>
    </row>
    <row r="14" spans="1:24" ht="39.950000000000003" customHeight="1" x14ac:dyDescent="0.25">
      <c r="A14" s="66" t="s">
        <v>38</v>
      </c>
      <c r="B14" s="103">
        <f>COUNTIF('pow podst'!C3:C17,"N")</f>
        <v>13</v>
      </c>
      <c r="C14" s="104">
        <f>SUMIF('pow podst'!C3:C17,"N",'pow podst'!J3:J17)</f>
        <v>33630912.039999999</v>
      </c>
      <c r="D14" s="105">
        <f>SUMIF('pow podst'!C3:C17,"N",'pow podst'!L3:L17)</f>
        <v>19281596.73</v>
      </c>
      <c r="E14" s="36">
        <f>SUMIF('pow podst'!C3:C17,"N",'pow podst'!K3:K17)</f>
        <v>14349315.310000001</v>
      </c>
      <c r="F14" s="110">
        <f>SUMIF('pow podst'!C3:C17,"N",'pow podst'!N3:N17)</f>
        <v>0</v>
      </c>
      <c r="G14" s="104">
        <f>SUMIF('pow podst'!C3:C17,"N",'pow podst'!O3:O17)</f>
        <v>0</v>
      </c>
      <c r="H14" s="104">
        <f>SUMIF('pow podst'!C3:C17,"N",'pow podst'!P3:P17)</f>
        <v>14349315.310000001</v>
      </c>
      <c r="I14" s="104">
        <f>SUMIF('pow podst'!C3:C17,"N",'pow podst'!Q3:Q17)</f>
        <v>0</v>
      </c>
      <c r="J14" s="104">
        <f>SUMIF('pow podst'!C3:C17,"N",'pow podst'!R3:R17)</f>
        <v>0</v>
      </c>
      <c r="K14" s="104">
        <f>SUMIF('pow podst'!C3:C17,"N",'pow podst'!S3:S17)</f>
        <v>0</v>
      </c>
      <c r="L14" s="104">
        <f>SUMIF('pow podst'!C3:C17,"N",'pow podst'!T3:T17)</f>
        <v>0</v>
      </c>
      <c r="M14" s="104">
        <f>SUMIF('pow podst'!C3:C17,"N",'pow podst'!U3:U17)</f>
        <v>0</v>
      </c>
      <c r="N14" s="104">
        <f>SUMIF('pow podst'!C3:C17,"N",'pow podst'!V3:V17)</f>
        <v>0</v>
      </c>
      <c r="O14" s="104">
        <f ca="1">SUMIF('pow podst'!C3:I17,"N",'pow podst'!W3:W17)</f>
        <v>0</v>
      </c>
      <c r="P14" s="11" t="b">
        <f t="shared" si="0"/>
        <v>1</v>
      </c>
      <c r="Q14" s="31" t="b">
        <f t="shared" ca="1" si="1"/>
        <v>1</v>
      </c>
      <c r="R14" s="12"/>
      <c r="S14" s="12"/>
      <c r="T14" s="13"/>
      <c r="U14" s="13"/>
      <c r="V14" s="14"/>
      <c r="W14" s="7"/>
      <c r="X14" s="7"/>
    </row>
    <row r="15" spans="1:24" ht="39.950000000000003" customHeight="1" thickBot="1" x14ac:dyDescent="0.3">
      <c r="A15" s="67" t="s">
        <v>39</v>
      </c>
      <c r="B15" s="100">
        <f>COUNTIF('pow podst'!C3:C17,"W")</f>
        <v>1</v>
      </c>
      <c r="C15" s="107">
        <f>SUMIF('pow podst'!C3:C17,"W",'pow podst'!J3:J17)</f>
        <v>3334837.71</v>
      </c>
      <c r="D15" s="108">
        <f>SUMIF('pow podst'!C3:C17,"W",'pow podst'!L3:L17)</f>
        <v>1667418.8499999999</v>
      </c>
      <c r="E15" s="68">
        <f>SUMIF('pow podst'!C3:C17,"W",'pow podst'!K3:K17)</f>
        <v>1667418.86</v>
      </c>
      <c r="F15" s="111">
        <f>SUMIF('pow podst'!C3:C17,"W",'pow podst'!N3:N17)</f>
        <v>0</v>
      </c>
      <c r="G15" s="107">
        <f>SUMIF('pow podst'!C3:C17,"W",'pow podst'!O3:O17)</f>
        <v>0</v>
      </c>
      <c r="H15" s="107">
        <f>SUMIF('pow podst'!C3:C17,"W",'pow podst'!P3:P17)</f>
        <v>1000000</v>
      </c>
      <c r="I15" s="107">
        <f>SUMIF('pow podst'!C3:C17,"W",'pow podst'!Q3:Q17)</f>
        <v>667418.86</v>
      </c>
      <c r="J15" s="107">
        <f>SUMIF('pow podst'!C3:C17,"W",'pow podst'!R3:R17)</f>
        <v>0</v>
      </c>
      <c r="K15" s="107">
        <f>SUMIF('pow podst'!C3:C17,"W",'pow podst'!S3:S17)</f>
        <v>0</v>
      </c>
      <c r="L15" s="107">
        <f>SUMIF('pow podst'!C3:C17,"W",'pow podst'!T3:T17)</f>
        <v>0</v>
      </c>
      <c r="M15" s="107">
        <f>SUMIF('pow podst'!C3:C17,"W",'pow podst'!U3:U17)</f>
        <v>0</v>
      </c>
      <c r="N15" s="107">
        <f>SUMIF('pow podst'!C3:C17,"W",'pow podst'!V3:V17)</f>
        <v>0</v>
      </c>
      <c r="O15" s="107">
        <f ca="1">SUMIF('pow podst'!C3:I17,"W",'pow podst'!W3:W17)</f>
        <v>0</v>
      </c>
      <c r="P15" s="11" t="b">
        <f t="shared" si="0"/>
        <v>1</v>
      </c>
      <c r="Q15" s="31" t="b">
        <f t="shared" ca="1" si="1"/>
        <v>1</v>
      </c>
      <c r="R15" s="12"/>
      <c r="S15" s="12"/>
      <c r="T15" s="13"/>
      <c r="U15" s="13"/>
      <c r="V15" s="14"/>
      <c r="W15" s="7"/>
      <c r="X15" s="7"/>
    </row>
    <row r="16" spans="1:24" ht="39.950000000000003" customHeight="1" thickTop="1" x14ac:dyDescent="0.25">
      <c r="A16" s="59" t="s">
        <v>40</v>
      </c>
      <c r="B16" s="60">
        <f>COUNTA('gm podst'!L3:L59)</f>
        <v>57</v>
      </c>
      <c r="C16" s="61">
        <f>SUM('gm podst'!K3:K59)</f>
        <v>99570319.570000008</v>
      </c>
      <c r="D16" s="61">
        <f>SUM('gm podst'!M3:M59)</f>
        <v>34117757.589999989</v>
      </c>
      <c r="E16" s="63">
        <f>SUM('gm podst'!L3:L59)</f>
        <v>65452561.980000012</v>
      </c>
      <c r="F16" s="112">
        <f>SUM('gm podst'!O3:O59)</f>
        <v>5851981.6699999999</v>
      </c>
      <c r="G16" s="112">
        <f>SUM('gm podst'!P3:P59)</f>
        <v>10956536.139999999</v>
      </c>
      <c r="H16" s="112">
        <f>SUM('gm podst'!Q3:Q59)</f>
        <v>40185333.651999995</v>
      </c>
      <c r="I16" s="112">
        <f>SUM('gm podst'!R3:R59)</f>
        <v>8458710.5179999992</v>
      </c>
      <c r="J16" s="112">
        <f>SUM('gm podst'!S3:S59)</f>
        <v>0</v>
      </c>
      <c r="K16" s="112">
        <f>SUM('gm podst'!T3:T59)</f>
        <v>0</v>
      </c>
      <c r="L16" s="112">
        <f>SUM('gm podst'!U3:U59)</f>
        <v>0</v>
      </c>
      <c r="M16" s="112">
        <f>SUM('gm podst'!V3:V59)</f>
        <v>0</v>
      </c>
      <c r="N16" s="112">
        <f>SUM('gm podst'!W3:W59)</f>
        <v>0</v>
      </c>
      <c r="O16" s="112">
        <f>SUM('gm podst'!X3:X59)</f>
        <v>0</v>
      </c>
      <c r="P16" s="11" t="b">
        <f t="shared" si="0"/>
        <v>1</v>
      </c>
      <c r="Q16" s="31" t="b">
        <f t="shared" si="1"/>
        <v>1</v>
      </c>
      <c r="R16" s="12"/>
      <c r="S16" s="12"/>
      <c r="T16" s="13"/>
      <c r="U16" s="13"/>
      <c r="V16" s="13"/>
      <c r="W16" s="13"/>
      <c r="X16" s="13"/>
    </row>
    <row r="17" spans="1:24" ht="39.950000000000003" customHeight="1" x14ac:dyDescent="0.25">
      <c r="A17" s="65" t="s">
        <v>37</v>
      </c>
      <c r="B17" s="100">
        <f>COUNTIF('gm podst'!C3:C59,"K")</f>
        <v>3</v>
      </c>
      <c r="C17" s="101">
        <f>SUMIF('gm podst'!C3:C59,"K",'gm podst'!K3:K59)</f>
        <v>26567513.729999997</v>
      </c>
      <c r="D17" s="102">
        <f>SUMIF('gm podst'!C3:C59,"K",'gm podst'!M3:M59)</f>
        <v>8654514.540000001</v>
      </c>
      <c r="E17" s="37">
        <f>SUMIF('gm podst'!C3:C59,"K",'gm podst'!L3:L59)</f>
        <v>17912999.190000001</v>
      </c>
      <c r="F17" s="109">
        <f>SUMIF('gm podst'!C3:C59,"K",'gm podst'!O3:O59)</f>
        <v>5851981.6699999999</v>
      </c>
      <c r="G17" s="101">
        <f>SUMIF('gm podst'!C3:C59,"K",'gm podst'!P3:P59)</f>
        <v>10956536.139999999</v>
      </c>
      <c r="H17" s="101">
        <f>SUMIF('gm podst'!$C$3:$C$59,"K",'gm podst'!Q3:Q59)</f>
        <v>1104481.3799999999</v>
      </c>
      <c r="I17" s="101">
        <f>SUMIF('gm podst'!$C$3:$C$59,"K",'gm podst'!R3:R59)</f>
        <v>0</v>
      </c>
      <c r="J17" s="101">
        <f>SUMIF('gm podst'!$C$3:$C$59,"K",'gm podst'!S3:S59)</f>
        <v>0</v>
      </c>
      <c r="K17" s="101">
        <f>SUMIF('gm podst'!$C$3:$C$59,"K",'gm podst'!T3:T59)</f>
        <v>0</v>
      </c>
      <c r="L17" s="101">
        <f>SUMIF('gm podst'!$C$3:$C$59,"K",'gm podst'!U3:U59)</f>
        <v>0</v>
      </c>
      <c r="M17" s="101">
        <f>SUMIF('gm podst'!$C$3:$C$59,"K",'gm podst'!V3:V59)</f>
        <v>0</v>
      </c>
      <c r="N17" s="101">
        <f>SUMIF('gm podst'!$C$3:$C$59,"K",'gm podst'!W3:W59)</f>
        <v>0</v>
      </c>
      <c r="O17" s="101">
        <f>SUMIF('gm podst'!$C$3:$C$59,"K",'gm podst'!X3:X59)</f>
        <v>0</v>
      </c>
      <c r="P17" s="11" t="b">
        <f t="shared" si="0"/>
        <v>1</v>
      </c>
      <c r="Q17" s="31" t="b">
        <f t="shared" si="1"/>
        <v>1</v>
      </c>
      <c r="R17" s="12"/>
      <c r="S17" s="12"/>
      <c r="T17" s="13"/>
      <c r="U17" s="13"/>
      <c r="V17" s="13"/>
      <c r="W17" s="13"/>
      <c r="X17" s="13"/>
    </row>
    <row r="18" spans="1:24" ht="39.950000000000003" customHeight="1" x14ac:dyDescent="0.25">
      <c r="A18" s="66" t="s">
        <v>38</v>
      </c>
      <c r="B18" s="103">
        <f>COUNTIF('gm podst'!C3:C59,"N")</f>
        <v>51</v>
      </c>
      <c r="C18" s="104">
        <f>SUMIF('gm podst'!C3:C59,"N",'gm podst'!K3:K59)</f>
        <v>48820081.399999999</v>
      </c>
      <c r="D18" s="105">
        <f>SUMIF('gm podst'!C3:C59,"N",'gm podst'!M3:M59)</f>
        <v>17248153.25</v>
      </c>
      <c r="E18" s="36">
        <f>SUMIF('gm podst'!C3:C59,"N",'gm podst'!L3:L59)</f>
        <v>31571928.149999999</v>
      </c>
      <c r="F18" s="110">
        <f>SUMIF('gm podst'!$C$3:$C$59,"N",'gm podst'!O3:O59)</f>
        <v>0</v>
      </c>
      <c r="G18" s="110">
        <f>SUMIF('gm podst'!$C$3:$C$59,"N",'gm podst'!P3:P59)</f>
        <v>0</v>
      </c>
      <c r="H18" s="110">
        <f>SUMIF('gm podst'!$C$3:$C$59,"N",'gm podst'!Q3:Q59)</f>
        <v>31571928.149999999</v>
      </c>
      <c r="I18" s="110">
        <f>SUMIF('gm podst'!$C$3:$C$59,"N",'gm podst'!R3:R59)</f>
        <v>0</v>
      </c>
      <c r="J18" s="110">
        <f>SUMIF('gm podst'!$C$3:$C$59,"N",'gm podst'!S3:S59)</f>
        <v>0</v>
      </c>
      <c r="K18" s="110">
        <f>SUMIF('gm podst'!$C$3:$C$59,"N",'gm podst'!T3:T59)</f>
        <v>0</v>
      </c>
      <c r="L18" s="110">
        <f>SUMIF('gm podst'!$C$3:$C$59,"N",'gm podst'!U3:U59)</f>
        <v>0</v>
      </c>
      <c r="M18" s="110">
        <f>SUMIF('gm podst'!$C$3:$C$59,"N",'gm podst'!V3:V59)</f>
        <v>0</v>
      </c>
      <c r="N18" s="110">
        <f>SUMIF('gm podst'!$C$3:$C$59,"N",'gm podst'!W3:W59)</f>
        <v>0</v>
      </c>
      <c r="O18" s="110">
        <f>SUMIF('gm podst'!$C$3:$C$59,"N",'gm podst'!X3:X59)</f>
        <v>0</v>
      </c>
      <c r="P18" s="11" t="b">
        <f t="shared" si="0"/>
        <v>1</v>
      </c>
      <c r="Q18" s="31" t="b">
        <f t="shared" si="1"/>
        <v>1</v>
      </c>
      <c r="R18" s="12"/>
      <c r="S18" s="12"/>
      <c r="T18" s="13"/>
      <c r="U18" s="13"/>
      <c r="V18" s="13"/>
      <c r="W18" s="13"/>
      <c r="X18" s="13"/>
    </row>
    <row r="19" spans="1:24" ht="39.950000000000003" customHeight="1" thickBot="1" x14ac:dyDescent="0.3">
      <c r="A19" s="67" t="s">
        <v>39</v>
      </c>
      <c r="B19" s="106">
        <f>COUNTIF('gm podst'!C3:C59,"W")</f>
        <v>3</v>
      </c>
      <c r="C19" s="107">
        <f>SUMIF('gm podst'!C3:C59,"W",'gm podst'!K3:K59)</f>
        <v>24182724.439999998</v>
      </c>
      <c r="D19" s="108">
        <f>SUMIF('gm podst'!C3:C59,"W",'gm podst'!M3:M59)</f>
        <v>8215089.8000000007</v>
      </c>
      <c r="E19" s="68">
        <f>SUMIF('gm podst'!C3:C59,"W",'gm podst'!L3:L59)</f>
        <v>15967634.639999999</v>
      </c>
      <c r="F19" s="111">
        <f>SUMIF('gm podst'!$C$3:$C$59,"W",'gm podst'!O3:O59)</f>
        <v>0</v>
      </c>
      <c r="G19" s="111">
        <f>SUMIF('gm podst'!$C$3:$C$59,"W",'gm podst'!P3:P59)</f>
        <v>0</v>
      </c>
      <c r="H19" s="111">
        <f>SUMIF('gm podst'!$C$3:$C$59,"W",'gm podst'!Q3:Q59)</f>
        <v>7508924.1219999995</v>
      </c>
      <c r="I19" s="111">
        <f>SUMIF('gm podst'!$C$3:$C$59,"W",'gm podst'!R3:R59)</f>
        <v>8458710.5179999992</v>
      </c>
      <c r="J19" s="111">
        <f>SUMIF('gm podst'!$C$3:$C$59,"W",'gm podst'!S3:S59)</f>
        <v>0</v>
      </c>
      <c r="K19" s="111">
        <f>SUMIF('gm podst'!$C$3:$C$59,"W",'gm podst'!T3:T59)</f>
        <v>0</v>
      </c>
      <c r="L19" s="111">
        <f>SUMIF('gm podst'!$C$3:$C$59,"W",'gm podst'!U3:U59)</f>
        <v>0</v>
      </c>
      <c r="M19" s="111">
        <f>SUMIF('gm podst'!$C$3:$C$59,"W",'gm podst'!V3:V59)</f>
        <v>0</v>
      </c>
      <c r="N19" s="111">
        <f>SUMIF('gm podst'!$C$3:$C$59,"W",'gm podst'!W3:W59)</f>
        <v>0</v>
      </c>
      <c r="O19" s="111">
        <f>SUMIF('gm podst'!$C$3:$C$59,"W",'gm podst'!X3:X59)</f>
        <v>0</v>
      </c>
      <c r="P19" s="11" t="b">
        <f t="shared" si="0"/>
        <v>1</v>
      </c>
      <c r="Q19" s="31" t="b">
        <f t="shared" si="1"/>
        <v>1</v>
      </c>
      <c r="R19" s="12"/>
      <c r="S19" s="12"/>
      <c r="T19" s="13"/>
      <c r="U19" s="13"/>
      <c r="V19" s="13"/>
      <c r="W19" s="13"/>
      <c r="X19" s="13"/>
    </row>
    <row r="20" spans="1:24" s="292" customFormat="1" ht="39.950000000000003" customHeight="1" thickTop="1" x14ac:dyDescent="0.25">
      <c r="A20" s="286" t="s">
        <v>41</v>
      </c>
      <c r="B20" s="287">
        <f>B12+B16</f>
        <v>72</v>
      </c>
      <c r="C20" s="288">
        <f>C12+C16</f>
        <v>143656962.97</v>
      </c>
      <c r="D20" s="289">
        <f t="shared" ref="C20:O22" si="2">D12+D16</f>
        <v>58627219.989999987</v>
      </c>
      <c r="E20" s="63">
        <f t="shared" si="2"/>
        <v>85029742.980000004</v>
      </c>
      <c r="F20" s="290">
        <f t="shared" si="2"/>
        <v>5851981.6699999999</v>
      </c>
      <c r="G20" s="288">
        <f t="shared" si="2"/>
        <v>12807002.709999999</v>
      </c>
      <c r="H20" s="288">
        <f>H12+H16</f>
        <v>57244629.221999995</v>
      </c>
      <c r="I20" s="288">
        <f t="shared" si="2"/>
        <v>9126129.3779999986</v>
      </c>
      <c r="J20" s="288">
        <f t="shared" si="2"/>
        <v>0</v>
      </c>
      <c r="K20" s="288">
        <f t="shared" si="2"/>
        <v>0</v>
      </c>
      <c r="L20" s="288">
        <f t="shared" si="2"/>
        <v>0</v>
      </c>
      <c r="M20" s="288">
        <f t="shared" si="2"/>
        <v>0</v>
      </c>
      <c r="N20" s="288">
        <f t="shared" si="2"/>
        <v>0</v>
      </c>
      <c r="O20" s="288">
        <f t="shared" si="2"/>
        <v>0</v>
      </c>
      <c r="P20" s="291" t="b">
        <f t="shared" si="0"/>
        <v>1</v>
      </c>
      <c r="Q20" s="31" t="b">
        <f>E20=SUM(F20:O20)</f>
        <v>1</v>
      </c>
      <c r="R20" s="15"/>
      <c r="S20" s="15"/>
      <c r="T20" s="16"/>
      <c r="U20" s="16"/>
      <c r="V20" s="16"/>
      <c r="W20" s="16"/>
      <c r="X20" s="16"/>
    </row>
    <row r="21" spans="1:24" s="17" customFormat="1" ht="39.950000000000003" customHeight="1" x14ac:dyDescent="0.25">
      <c r="A21" s="69" t="s">
        <v>37</v>
      </c>
      <c r="B21" s="42">
        <f>B13+B17</f>
        <v>4</v>
      </c>
      <c r="C21" s="38">
        <f t="shared" si="2"/>
        <v>33688407.379999995</v>
      </c>
      <c r="D21" s="47">
        <f t="shared" si="2"/>
        <v>12214961.360000001</v>
      </c>
      <c r="E21" s="37">
        <f t="shared" si="2"/>
        <v>21473446.020000003</v>
      </c>
      <c r="F21" s="50">
        <f t="shared" si="2"/>
        <v>5851981.6699999999</v>
      </c>
      <c r="G21" s="38">
        <f t="shared" si="2"/>
        <v>12807002.709999999</v>
      </c>
      <c r="H21" s="38">
        <f t="shared" si="2"/>
        <v>2814461.6399999997</v>
      </c>
      <c r="I21" s="38">
        <f t="shared" si="2"/>
        <v>0</v>
      </c>
      <c r="J21" s="38">
        <f t="shared" si="2"/>
        <v>0</v>
      </c>
      <c r="K21" s="38">
        <f t="shared" si="2"/>
        <v>0</v>
      </c>
      <c r="L21" s="38">
        <f t="shared" si="2"/>
        <v>0</v>
      </c>
      <c r="M21" s="38">
        <f t="shared" si="2"/>
        <v>0</v>
      </c>
      <c r="N21" s="38">
        <f t="shared" si="2"/>
        <v>0</v>
      </c>
      <c r="O21" s="38">
        <f t="shared" ca="1" si="2"/>
        <v>0</v>
      </c>
      <c r="P21" s="11" t="b">
        <f t="shared" si="0"/>
        <v>1</v>
      </c>
      <c r="Q21" s="31" t="b">
        <f ca="1">E21=SUM(F21:O21)</f>
        <v>1</v>
      </c>
      <c r="R21" s="15"/>
      <c r="S21" s="15"/>
      <c r="T21" s="16"/>
      <c r="U21" s="16"/>
      <c r="V21" s="16"/>
      <c r="W21" s="16"/>
      <c r="X21" s="16"/>
    </row>
    <row r="22" spans="1:24" s="17" customFormat="1" ht="39.950000000000003" customHeight="1" x14ac:dyDescent="0.25">
      <c r="A22" s="70" t="s">
        <v>38</v>
      </c>
      <c r="B22" s="43">
        <f>B14+B18</f>
        <v>64</v>
      </c>
      <c r="C22" s="40">
        <f t="shared" si="2"/>
        <v>82450993.439999998</v>
      </c>
      <c r="D22" s="48">
        <f t="shared" si="2"/>
        <v>36529749.980000004</v>
      </c>
      <c r="E22" s="36">
        <f t="shared" si="2"/>
        <v>45921243.460000001</v>
      </c>
      <c r="F22" s="51">
        <f t="shared" si="2"/>
        <v>0</v>
      </c>
      <c r="G22" s="40">
        <f t="shared" si="2"/>
        <v>0</v>
      </c>
      <c r="H22" s="40">
        <f t="shared" si="2"/>
        <v>45921243.460000001</v>
      </c>
      <c r="I22" s="40">
        <f t="shared" si="2"/>
        <v>0</v>
      </c>
      <c r="J22" s="40">
        <f t="shared" si="2"/>
        <v>0</v>
      </c>
      <c r="K22" s="40">
        <f t="shared" si="2"/>
        <v>0</v>
      </c>
      <c r="L22" s="40">
        <f t="shared" si="2"/>
        <v>0</v>
      </c>
      <c r="M22" s="40">
        <f t="shared" si="2"/>
        <v>0</v>
      </c>
      <c r="N22" s="40">
        <f t="shared" si="2"/>
        <v>0</v>
      </c>
      <c r="O22" s="40">
        <f t="shared" ca="1" si="2"/>
        <v>0</v>
      </c>
      <c r="P22" s="11" t="b">
        <f t="shared" si="0"/>
        <v>1</v>
      </c>
      <c r="Q22" s="31" t="b">
        <f ca="1">E22=SUM(F22:O22)</f>
        <v>1</v>
      </c>
      <c r="R22" s="15"/>
      <c r="S22" s="15"/>
      <c r="T22" s="16"/>
      <c r="U22" s="16"/>
      <c r="V22" s="16"/>
      <c r="W22" s="16"/>
      <c r="X22" s="16"/>
    </row>
    <row r="23" spans="1:24" s="17" customFormat="1" ht="39.950000000000003" customHeight="1" thickBot="1" x14ac:dyDescent="0.3">
      <c r="A23" s="71" t="s">
        <v>39</v>
      </c>
      <c r="B23" s="72">
        <f>B15+B19</f>
        <v>4</v>
      </c>
      <c r="C23" s="73">
        <f t="shared" ref="C23:O23" si="3">C15+C19</f>
        <v>27517562.149999999</v>
      </c>
      <c r="D23" s="74">
        <f t="shared" si="3"/>
        <v>9882508.6500000004</v>
      </c>
      <c r="E23" s="68">
        <f>E15+E19</f>
        <v>17635053.5</v>
      </c>
      <c r="F23" s="75">
        <f t="shared" si="3"/>
        <v>0</v>
      </c>
      <c r="G23" s="73">
        <f>G15+G19</f>
        <v>0</v>
      </c>
      <c r="H23" s="73">
        <f>H15+H19</f>
        <v>8508924.1219999995</v>
      </c>
      <c r="I23" s="73">
        <f t="shared" si="3"/>
        <v>9126129.3779999986</v>
      </c>
      <c r="J23" s="73">
        <f t="shared" si="3"/>
        <v>0</v>
      </c>
      <c r="K23" s="73">
        <f t="shared" si="3"/>
        <v>0</v>
      </c>
      <c r="L23" s="73">
        <f t="shared" si="3"/>
        <v>0</v>
      </c>
      <c r="M23" s="73">
        <f t="shared" si="3"/>
        <v>0</v>
      </c>
      <c r="N23" s="73">
        <f t="shared" si="3"/>
        <v>0</v>
      </c>
      <c r="O23" s="73">
        <f t="shared" ca="1" si="3"/>
        <v>0</v>
      </c>
      <c r="P23" s="11" t="b">
        <f>C23=(D23+E23)</f>
        <v>1</v>
      </c>
      <c r="Q23" s="31" t="b">
        <f ca="1">E23=SUM(F23:O23)</f>
        <v>1</v>
      </c>
      <c r="R23" s="15"/>
      <c r="S23" s="15"/>
      <c r="T23" s="16"/>
      <c r="U23" s="16"/>
      <c r="V23" s="16"/>
      <c r="W23" s="16"/>
      <c r="X23" s="16"/>
    </row>
    <row r="24" spans="1:24" ht="39.950000000000003" customHeight="1" thickTop="1" x14ac:dyDescent="0.25">
      <c r="A24" s="59" t="s">
        <v>2</v>
      </c>
      <c r="B24" s="60">
        <f>COUNTA('pow rez'!H3:H6)</f>
        <v>4</v>
      </c>
      <c r="C24" s="61">
        <f>SUM('pow rez'!J3:J6)</f>
        <v>9948245.3099999987</v>
      </c>
      <c r="D24" s="62">
        <f>SUM('pow rez'!L3:L6)</f>
        <v>4974122.6399999997</v>
      </c>
      <c r="E24" s="63">
        <f>SUM('pow rez'!K3:K6)</f>
        <v>4974122.67</v>
      </c>
      <c r="F24" s="64">
        <f>SUM('pow rez'!N3:N6)</f>
        <v>0</v>
      </c>
      <c r="G24" s="64">
        <f>SUM('pow rez'!O3:O6)</f>
        <v>0</v>
      </c>
      <c r="H24" s="64">
        <f>SUM('pow rez'!P3:P6)</f>
        <v>4974122.67</v>
      </c>
      <c r="I24" s="64">
        <f>SUM('pow rez'!Q3:Q6)</f>
        <v>0</v>
      </c>
      <c r="J24" s="64">
        <f>SUM('pow rez'!R3:R6)</f>
        <v>0</v>
      </c>
      <c r="K24" s="64">
        <f>SUM('pow rez'!S3:S6)</f>
        <v>0</v>
      </c>
      <c r="L24" s="64">
        <f>SUM('pow rez'!T3:T6)</f>
        <v>0</v>
      </c>
      <c r="M24" s="64">
        <f>SUM('pow rez'!U3:U6)</f>
        <v>0</v>
      </c>
      <c r="N24" s="64">
        <f>SUM('pow rez'!V3:V6)</f>
        <v>0</v>
      </c>
      <c r="O24" s="64">
        <f>SUM('pow rez'!W3:W6)</f>
        <v>0</v>
      </c>
      <c r="P24" s="11" t="b">
        <f t="shared" ref="P24:P35" si="4">C24=(D24+E24)</f>
        <v>1</v>
      </c>
      <c r="Q24" s="31" t="b">
        <f t="shared" ref="Q24:Q35" si="5">E24=SUM(F24:O24)</f>
        <v>1</v>
      </c>
      <c r="R24" s="12"/>
      <c r="S24" s="12"/>
      <c r="T24" s="13"/>
      <c r="U24" s="13"/>
      <c r="V24" s="13"/>
      <c r="W24" s="13"/>
      <c r="X24" s="13"/>
    </row>
    <row r="25" spans="1:24" ht="39.950000000000003" customHeight="1" x14ac:dyDescent="0.25">
      <c r="A25" s="66" t="s">
        <v>38</v>
      </c>
      <c r="B25" s="103">
        <f>COUNTIF('pow rez'!C3:C6,"N")</f>
        <v>4</v>
      </c>
      <c r="C25" s="104">
        <f>SUMIF('pow rez'!C3:C6,"N",'pow rez'!J3:J6)</f>
        <v>9948245.3099999987</v>
      </c>
      <c r="D25" s="105">
        <f>SUMIF('pow rez'!C3:C6,"N",'pow rez'!L3:L6)</f>
        <v>4974122.6399999997</v>
      </c>
      <c r="E25" s="36">
        <f>SUMIF('pow rez'!C3:C6,"N",'pow rez'!K3:K6)</f>
        <v>4974122.67</v>
      </c>
      <c r="F25" s="110">
        <f>SUMIF('pow rez'!C3:C5,"N",'pow rez'!N3:N5)</f>
        <v>0</v>
      </c>
      <c r="G25" s="110">
        <f>SUMIF('pow rez'!C3:C5,"N",'pow rez'!O3:O5)</f>
        <v>0</v>
      </c>
      <c r="H25" s="110">
        <f>SUMIF('pow rez'!C3:C6,"N",'pow rez'!P3:P6)</f>
        <v>4974122.67</v>
      </c>
      <c r="I25" s="110">
        <f>SUMIF('pow rez'!C3:C6,"N",'pow rez'!Q3:Q6)</f>
        <v>0</v>
      </c>
      <c r="J25" s="110">
        <f>SUMIF('pow rez'!C3:C6,"N",'pow rez'!R3:R6)</f>
        <v>0</v>
      </c>
      <c r="K25" s="110">
        <f>SUMIF('pow rez'!C3:C6,"N",'pow rez'!S3:S6)</f>
        <v>0</v>
      </c>
      <c r="L25" s="110">
        <f>SUMIF('pow rez'!C3:C6,"N",'pow rez'!T3:T6)</f>
        <v>0</v>
      </c>
      <c r="M25" s="110">
        <f>SUMIF('pow rez'!C3:C6,"N",'pow rez'!U3:U6)</f>
        <v>0</v>
      </c>
      <c r="N25" s="110">
        <f>SUMIF('pow rez'!C3:C6,"N",'pow rez'!V3:V6)</f>
        <v>0</v>
      </c>
      <c r="O25" s="110">
        <f>SUMIF('pow rez'!C3:C6,"N",'pow rez'!W3:W6)</f>
        <v>0</v>
      </c>
      <c r="P25" s="11" t="b">
        <f t="shared" si="4"/>
        <v>1</v>
      </c>
      <c r="Q25" s="31" t="b">
        <f t="shared" si="5"/>
        <v>1</v>
      </c>
      <c r="R25" s="12"/>
      <c r="S25" s="12"/>
      <c r="T25" s="13"/>
      <c r="U25" s="13"/>
      <c r="V25" s="13"/>
      <c r="W25" s="13"/>
      <c r="X25" s="13"/>
    </row>
    <row r="26" spans="1:24" ht="39.950000000000003" customHeight="1" thickBot="1" x14ac:dyDescent="0.3">
      <c r="A26" s="67" t="s">
        <v>39</v>
      </c>
      <c r="B26" s="106">
        <f>COUNTIF('pow rez'!C3:C6,"W")</f>
        <v>0</v>
      </c>
      <c r="C26" s="107">
        <f>SUMIF('pow rez'!C3:C6,"W",'pow rez'!J3:J6)</f>
        <v>0</v>
      </c>
      <c r="D26" s="108">
        <f>SUMIF('pow rez'!C3:C6,"W",'pow rez'!L3:L6)</f>
        <v>0</v>
      </c>
      <c r="E26" s="68">
        <f>SUMIF('pow rez'!C3:C6,"W",'pow rez'!K3:K6)</f>
        <v>0</v>
      </c>
      <c r="F26" s="111">
        <f>SUMIF('pow rez'!C3:C6,"W",'pow rez'!N3:N6)</f>
        <v>0</v>
      </c>
      <c r="G26" s="111">
        <f>SUMIF('pow rez'!C3:C6,"W",'pow rez'!O3:O6)</f>
        <v>0</v>
      </c>
      <c r="H26" s="111">
        <f>SUMIF('pow rez'!C3:C6,"W",'pow rez'!P3:P6)</f>
        <v>0</v>
      </c>
      <c r="I26" s="111">
        <f>SUMIF('pow rez'!C3:C6,"W",'pow rez'!Q3:Q6)</f>
        <v>0</v>
      </c>
      <c r="J26" s="111">
        <f>SUMIF('pow rez'!C3:C6,"W",'pow rez'!R3:R6)</f>
        <v>0</v>
      </c>
      <c r="K26" s="111">
        <f>SUMIF('pow rez'!C3:C6,"W",'pow rez'!S3:S6)</f>
        <v>0</v>
      </c>
      <c r="L26" s="111">
        <f>SUMIF('pow rez'!C3:C6,"W",'pow rez'!T3:T6)</f>
        <v>0</v>
      </c>
      <c r="M26" s="111">
        <f>SUMIF('pow rez'!C3:C6,"W",'pow rez'!U3:U6)</f>
        <v>0</v>
      </c>
      <c r="N26" s="111">
        <f>SUMIF('pow rez'!C3:C6,"W",'pow rez'!V3:V6)</f>
        <v>0</v>
      </c>
      <c r="O26" s="111">
        <f>SUMIF('pow rez'!C3:C6,"W",'pow rez'!W3:W6)</f>
        <v>0</v>
      </c>
      <c r="P26" s="11" t="b">
        <f t="shared" si="4"/>
        <v>1</v>
      </c>
      <c r="Q26" s="31" t="b">
        <f t="shared" si="5"/>
        <v>1</v>
      </c>
      <c r="R26" s="12"/>
      <c r="S26" s="12"/>
      <c r="T26" s="13"/>
      <c r="U26" s="13"/>
      <c r="V26" s="13"/>
      <c r="W26" s="13"/>
      <c r="X26" s="13"/>
    </row>
    <row r="27" spans="1:24" ht="39.950000000000003" customHeight="1" thickTop="1" x14ac:dyDescent="0.25">
      <c r="A27" s="59" t="s">
        <v>3</v>
      </c>
      <c r="B27" s="60">
        <f>COUNTA('gm rez'!I3:I22)</f>
        <v>15</v>
      </c>
      <c r="C27" s="61">
        <f>SUM('gm rez'!K3:K22)</f>
        <v>16104465.949999999</v>
      </c>
      <c r="D27" s="62">
        <f>SUM('gm rez'!M3:M22)</f>
        <v>6044035.5999999996</v>
      </c>
      <c r="E27" s="63">
        <f>SUM('gm rez'!L3:L22)</f>
        <v>10060430.35</v>
      </c>
      <c r="F27" s="64">
        <f>SUM('gm rez'!O3:O22)</f>
        <v>0</v>
      </c>
      <c r="G27" s="61">
        <f>SUM('gm rez'!P3:P22)</f>
        <v>0</v>
      </c>
      <c r="H27" s="61">
        <f>SUM('gm rez'!Q3:Q22)</f>
        <v>9601712.9499999993</v>
      </c>
      <c r="I27" s="61">
        <f>SUM('gm rez'!R3:R22)</f>
        <v>458717.4</v>
      </c>
      <c r="J27" s="61">
        <f>SUM('gm rez'!S3:S22)</f>
        <v>0</v>
      </c>
      <c r="K27" s="61">
        <f>SUM('gm rez'!T3:T22)</f>
        <v>0</v>
      </c>
      <c r="L27" s="61">
        <f>SUM('gm rez'!U3:U22)</f>
        <v>0</v>
      </c>
      <c r="M27" s="61">
        <f>SUM('gm rez'!V3:V22)</f>
        <v>0</v>
      </c>
      <c r="N27" s="61">
        <f>SUM('gm rez'!W3:W22)</f>
        <v>0</v>
      </c>
      <c r="O27" s="61">
        <f>SUM('gm rez'!X3:X22)</f>
        <v>0</v>
      </c>
      <c r="P27" s="11" t="b">
        <f t="shared" si="4"/>
        <v>1</v>
      </c>
      <c r="Q27" s="31" t="b">
        <f t="shared" si="5"/>
        <v>1</v>
      </c>
      <c r="R27" s="18"/>
      <c r="S27" s="18"/>
      <c r="T27" s="19"/>
      <c r="U27" s="19"/>
      <c r="V27" s="14"/>
      <c r="W27" s="7"/>
      <c r="X27" s="7"/>
    </row>
    <row r="28" spans="1:24" ht="39.950000000000003" customHeight="1" x14ac:dyDescent="0.25">
      <c r="A28" s="66" t="s">
        <v>38</v>
      </c>
      <c r="B28" s="103">
        <f>COUNTIF('gm rez'!C3:C22,"N")</f>
        <v>14</v>
      </c>
      <c r="C28" s="104">
        <f>SUMIF('gm rez'!C3:C22,"N",'gm rez'!K3:K22)</f>
        <v>12557865.699999999</v>
      </c>
      <c r="D28" s="105">
        <f>SUMIF('gm rez'!C3:C22,"N",'gm rez'!M3:M22)</f>
        <v>4980055.5299999993</v>
      </c>
      <c r="E28" s="36">
        <f>SUMIF('gm rez'!C3:C22,"N",'gm rez'!L3:L22)</f>
        <v>7577810.1699999999</v>
      </c>
      <c r="F28" s="110">
        <f>SUMIF('gm rez'!C3:C22,"N",'gm rez'!O3:O22)</f>
        <v>0</v>
      </c>
      <c r="G28" s="104">
        <f>SUMIF('gm rez'!C3:C22,"N",'gm rez'!P3:P22)</f>
        <v>0</v>
      </c>
      <c r="H28" s="104">
        <f>SUMIF('gm rez'!C3:C22,"N",'gm rez'!Q3:Q22)</f>
        <v>7577810.1699999999</v>
      </c>
      <c r="I28" s="104">
        <f>SUMIF('gm rez'!C3:C22,"N",'gm rez'!R3:R22)</f>
        <v>0</v>
      </c>
      <c r="J28" s="104">
        <f>SUMIF('gm rez'!C3:C22,"N",'gm rez'!S3:S22)</f>
        <v>0</v>
      </c>
      <c r="K28" s="104">
        <f>SUMIF('gm rez'!C3:C22,"N",'gm rez'!T3:T22)</f>
        <v>0</v>
      </c>
      <c r="L28" s="104">
        <f>SUMIF('gm rez'!C3:C22,"N",'gm rez'!U3:U22)</f>
        <v>0</v>
      </c>
      <c r="M28" s="104">
        <f>SUMIF('gm rez'!C3:C22,"N",'gm rez'!V3:V22)</f>
        <v>0</v>
      </c>
      <c r="N28" s="104">
        <f>SUMIF('gm rez'!C3:C22,"N",'gm rez'!W3:W22)</f>
        <v>0</v>
      </c>
      <c r="O28" s="104">
        <f>SUMIF('gm rez'!C3:C22,"N",'gm rez'!X3:X22)</f>
        <v>0</v>
      </c>
      <c r="P28" s="11" t="b">
        <f t="shared" si="4"/>
        <v>1</v>
      </c>
      <c r="Q28" s="31" t="b">
        <f t="shared" si="5"/>
        <v>1</v>
      </c>
      <c r="R28" s="18"/>
      <c r="S28" s="18"/>
      <c r="T28" s="19"/>
      <c r="U28" s="19"/>
      <c r="V28" s="14"/>
      <c r="W28" s="7"/>
      <c r="X28" s="7"/>
    </row>
    <row r="29" spans="1:24" ht="39.950000000000003" customHeight="1" thickBot="1" x14ac:dyDescent="0.3">
      <c r="A29" s="67" t="s">
        <v>39</v>
      </c>
      <c r="B29" s="106">
        <f>COUNTIF('gm rez'!C3:C22,"W")</f>
        <v>1</v>
      </c>
      <c r="C29" s="107">
        <f>SUMIF('gm rez'!C3:C22,"W",'gm rez'!K3:K22)</f>
        <v>3546600.25</v>
      </c>
      <c r="D29" s="108">
        <f>SUMIF('gm rez'!C3:C22,"W",'gm rez'!M3:M22)</f>
        <v>1063980.0699999998</v>
      </c>
      <c r="E29" s="68">
        <f>SUMIF('gm rez'!C3:C22,"W",'gm rez'!L3:L22)</f>
        <v>2482620.1800000002</v>
      </c>
      <c r="F29" s="111">
        <f>SUMIF('gm rez'!C3:C22,"W",'gm rez'!O3:O22)</f>
        <v>0</v>
      </c>
      <c r="G29" s="107">
        <f>SUMIF('gm rez'!C3:C22,"W",'gm rez'!P3:P22)</f>
        <v>0</v>
      </c>
      <c r="H29" s="107">
        <f>SUMIF('gm rez'!C3:C22,"W",'gm rez'!Q3:Q22)</f>
        <v>2023902.78</v>
      </c>
      <c r="I29" s="107">
        <f>SUMIF('gm rez'!C3:C22,"W",'gm rez'!R3:R22)</f>
        <v>458717.4</v>
      </c>
      <c r="J29" s="107">
        <f>SUMIF('gm rez'!C3:C22,"W",'gm rez'!S3:S22)</f>
        <v>0</v>
      </c>
      <c r="K29" s="107">
        <f>SUMIF('gm rez'!C3:C22,"W",'gm rez'!T3:T22)</f>
        <v>0</v>
      </c>
      <c r="L29" s="107">
        <f>SUMIF('gm rez'!C3:C22,"W",'gm rez'!U3:U22)</f>
        <v>0</v>
      </c>
      <c r="M29" s="107">
        <f>SUMIF('gm rez'!C3:C22,"W",'gm rez'!V3:V22)</f>
        <v>0</v>
      </c>
      <c r="N29" s="107">
        <f>SUMIF('gm rez'!C3:C22,"W",'gm rez'!W3:W22)</f>
        <v>0</v>
      </c>
      <c r="O29" s="107">
        <f>SUMIF('gm rez'!C3:C22,"W",'gm rez'!X3:X22)</f>
        <v>0</v>
      </c>
      <c r="P29" s="11" t="b">
        <f t="shared" si="4"/>
        <v>1</v>
      </c>
      <c r="Q29" s="31" t="b">
        <f t="shared" si="5"/>
        <v>1</v>
      </c>
      <c r="R29" s="18"/>
      <c r="S29" s="18"/>
      <c r="T29" s="19"/>
      <c r="U29" s="19"/>
      <c r="V29" s="14"/>
      <c r="W29" s="7"/>
      <c r="X29" s="7"/>
    </row>
    <row r="30" spans="1:24" ht="39.950000000000003" customHeight="1" thickTop="1" x14ac:dyDescent="0.25">
      <c r="A30" s="76" t="s">
        <v>22</v>
      </c>
      <c r="B30" s="77">
        <f>B24+B27</f>
        <v>19</v>
      </c>
      <c r="C30" s="78">
        <f>C24+C27</f>
        <v>26052711.259999998</v>
      </c>
      <c r="D30" s="79">
        <f t="shared" ref="D30:O30" si="6">D24+D27</f>
        <v>11018158.239999998</v>
      </c>
      <c r="E30" s="58">
        <f t="shared" si="6"/>
        <v>15034553.02</v>
      </c>
      <c r="F30" s="80">
        <f t="shared" si="6"/>
        <v>0</v>
      </c>
      <c r="G30" s="78">
        <f t="shared" si="6"/>
        <v>0</v>
      </c>
      <c r="H30" s="78">
        <f t="shared" si="6"/>
        <v>14575835.619999999</v>
      </c>
      <c r="I30" s="78">
        <f t="shared" si="6"/>
        <v>458717.4</v>
      </c>
      <c r="J30" s="78">
        <f t="shared" si="6"/>
        <v>0</v>
      </c>
      <c r="K30" s="78">
        <f t="shared" si="6"/>
        <v>0</v>
      </c>
      <c r="L30" s="78">
        <f t="shared" si="6"/>
        <v>0</v>
      </c>
      <c r="M30" s="78">
        <f t="shared" si="6"/>
        <v>0</v>
      </c>
      <c r="N30" s="78">
        <f t="shared" si="6"/>
        <v>0</v>
      </c>
      <c r="O30" s="81">
        <f t="shared" si="6"/>
        <v>0</v>
      </c>
      <c r="P30" s="11" t="b">
        <f t="shared" si="4"/>
        <v>1</v>
      </c>
      <c r="Q30" s="31" t="b">
        <f t="shared" si="5"/>
        <v>1</v>
      </c>
      <c r="R30" s="20"/>
      <c r="S30" s="20"/>
      <c r="T30" s="2"/>
      <c r="U30" s="2"/>
    </row>
    <row r="31" spans="1:24" ht="39.950000000000003" customHeight="1" x14ac:dyDescent="0.25">
      <c r="A31" s="46" t="s">
        <v>38</v>
      </c>
      <c r="B31" s="44">
        <f t="shared" ref="B31:O31" si="7">B25+B28</f>
        <v>18</v>
      </c>
      <c r="C31" s="39">
        <f t="shared" si="7"/>
        <v>22506111.009999998</v>
      </c>
      <c r="D31" s="49">
        <f t="shared" si="7"/>
        <v>9954178.1699999981</v>
      </c>
      <c r="E31" s="36">
        <f t="shared" si="7"/>
        <v>12551932.84</v>
      </c>
      <c r="F31" s="52">
        <f t="shared" si="7"/>
        <v>0</v>
      </c>
      <c r="G31" s="39">
        <f t="shared" si="7"/>
        <v>0</v>
      </c>
      <c r="H31" s="39">
        <f t="shared" si="7"/>
        <v>12551932.84</v>
      </c>
      <c r="I31" s="39">
        <f t="shared" si="7"/>
        <v>0</v>
      </c>
      <c r="J31" s="39">
        <f t="shared" si="7"/>
        <v>0</v>
      </c>
      <c r="K31" s="39">
        <f t="shared" si="7"/>
        <v>0</v>
      </c>
      <c r="L31" s="39">
        <f t="shared" si="7"/>
        <v>0</v>
      </c>
      <c r="M31" s="39">
        <f t="shared" si="7"/>
        <v>0</v>
      </c>
      <c r="N31" s="39">
        <f t="shared" si="7"/>
        <v>0</v>
      </c>
      <c r="O31" s="41">
        <f t="shared" si="7"/>
        <v>0</v>
      </c>
      <c r="P31" s="11" t="b">
        <f t="shared" si="4"/>
        <v>1</v>
      </c>
      <c r="Q31" s="31" t="b">
        <f t="shared" si="5"/>
        <v>1</v>
      </c>
      <c r="R31" s="20"/>
      <c r="S31" s="20"/>
      <c r="T31" s="2"/>
      <c r="U31" s="2"/>
    </row>
    <row r="32" spans="1:24" ht="39.950000000000003" customHeight="1" thickBot="1" x14ac:dyDescent="0.3">
      <c r="A32" s="82" t="s">
        <v>39</v>
      </c>
      <c r="B32" s="83">
        <f t="shared" ref="B32:O32" si="8">B26+B29</f>
        <v>1</v>
      </c>
      <c r="C32" s="84">
        <f t="shared" si="8"/>
        <v>3546600.25</v>
      </c>
      <c r="D32" s="85">
        <f t="shared" si="8"/>
        <v>1063980.0699999998</v>
      </c>
      <c r="E32" s="86">
        <f t="shared" si="8"/>
        <v>2482620.1800000002</v>
      </c>
      <c r="F32" s="87">
        <f t="shared" si="8"/>
        <v>0</v>
      </c>
      <c r="G32" s="84">
        <f t="shared" si="8"/>
        <v>0</v>
      </c>
      <c r="H32" s="84">
        <f t="shared" si="8"/>
        <v>2023902.78</v>
      </c>
      <c r="I32" s="84">
        <f t="shared" si="8"/>
        <v>458717.4</v>
      </c>
      <c r="J32" s="84">
        <f t="shared" si="8"/>
        <v>0</v>
      </c>
      <c r="K32" s="84">
        <f t="shared" si="8"/>
        <v>0</v>
      </c>
      <c r="L32" s="84">
        <f t="shared" si="8"/>
        <v>0</v>
      </c>
      <c r="M32" s="84">
        <f t="shared" si="8"/>
        <v>0</v>
      </c>
      <c r="N32" s="84">
        <f t="shared" si="8"/>
        <v>0</v>
      </c>
      <c r="O32" s="88">
        <f t="shared" si="8"/>
        <v>0</v>
      </c>
      <c r="P32" s="11" t="b">
        <f t="shared" si="4"/>
        <v>1</v>
      </c>
      <c r="Q32" s="31" t="b">
        <f t="shared" si="5"/>
        <v>1</v>
      </c>
      <c r="R32" s="20"/>
      <c r="S32" s="20"/>
      <c r="T32" s="2"/>
      <c r="U32" s="2"/>
    </row>
    <row r="33" spans="1:21" ht="39.950000000000003" customHeight="1" thickTop="1" x14ac:dyDescent="0.25">
      <c r="A33" s="89" t="s">
        <v>33</v>
      </c>
      <c r="B33" s="90">
        <f>B20+B30</f>
        <v>91</v>
      </c>
      <c r="C33" s="91">
        <f>C20+C30</f>
        <v>169709674.22999999</v>
      </c>
      <c r="D33" s="92">
        <f t="shared" ref="D33:O33" si="9">D20+D30</f>
        <v>69645378.229999989</v>
      </c>
      <c r="E33" s="93">
        <f>E20+E30</f>
        <v>100064296</v>
      </c>
      <c r="F33" s="94">
        <f>F20+F30</f>
        <v>5851981.6699999999</v>
      </c>
      <c r="G33" s="124">
        <f>G20+G30</f>
        <v>12807002.709999999</v>
      </c>
      <c r="H33" s="124">
        <f>H20+H30</f>
        <v>71820464.841999993</v>
      </c>
      <c r="I33" s="124">
        <f>I20+I30</f>
        <v>9584846.777999999</v>
      </c>
      <c r="J33" s="91">
        <f t="shared" si="9"/>
        <v>0</v>
      </c>
      <c r="K33" s="91">
        <f t="shared" si="9"/>
        <v>0</v>
      </c>
      <c r="L33" s="91">
        <f t="shared" si="9"/>
        <v>0</v>
      </c>
      <c r="M33" s="91">
        <f t="shared" si="9"/>
        <v>0</v>
      </c>
      <c r="N33" s="91">
        <f t="shared" si="9"/>
        <v>0</v>
      </c>
      <c r="O33" s="95">
        <f t="shared" si="9"/>
        <v>0</v>
      </c>
      <c r="P33" s="11" t="b">
        <f t="shared" si="4"/>
        <v>1</v>
      </c>
      <c r="Q33" s="31" t="b">
        <f t="shared" si="5"/>
        <v>1</v>
      </c>
      <c r="R33" s="20"/>
      <c r="S33" s="20"/>
      <c r="T33" s="2"/>
      <c r="U33" s="2"/>
    </row>
    <row r="34" spans="1:21" ht="39.950000000000003" customHeight="1" x14ac:dyDescent="0.25">
      <c r="A34" s="96" t="s">
        <v>38</v>
      </c>
      <c r="B34" s="45">
        <f t="shared" ref="B34:F35" si="10">B22+B31</f>
        <v>82</v>
      </c>
      <c r="C34" s="123">
        <f t="shared" si="10"/>
        <v>104957104.44999999</v>
      </c>
      <c r="D34" s="123">
        <f t="shared" si="10"/>
        <v>46483928.150000006</v>
      </c>
      <c r="E34" s="54">
        <f t="shared" si="10"/>
        <v>58473176.299999997</v>
      </c>
      <c r="F34" s="53">
        <f t="shared" si="10"/>
        <v>0</v>
      </c>
      <c r="G34" s="123">
        <f t="shared" ref="G34:O34" si="11">G22+G31</f>
        <v>0</v>
      </c>
      <c r="H34" s="123">
        <f t="shared" si="11"/>
        <v>58473176.299999997</v>
      </c>
      <c r="I34" s="123">
        <f t="shared" si="11"/>
        <v>0</v>
      </c>
      <c r="J34" s="123">
        <f t="shared" si="11"/>
        <v>0</v>
      </c>
      <c r="K34" s="123">
        <f t="shared" si="11"/>
        <v>0</v>
      </c>
      <c r="L34" s="123">
        <f t="shared" si="11"/>
        <v>0</v>
      </c>
      <c r="M34" s="123">
        <f t="shared" si="11"/>
        <v>0</v>
      </c>
      <c r="N34" s="123">
        <f t="shared" si="11"/>
        <v>0</v>
      </c>
      <c r="O34" s="123">
        <f t="shared" ca="1" si="11"/>
        <v>0</v>
      </c>
      <c r="P34" s="11" t="b">
        <f t="shared" si="4"/>
        <v>1</v>
      </c>
      <c r="Q34" s="31" t="b">
        <f t="shared" ca="1" si="5"/>
        <v>1</v>
      </c>
      <c r="R34" s="20"/>
      <c r="S34" s="20"/>
      <c r="T34" s="2"/>
      <c r="U34" s="2"/>
    </row>
    <row r="35" spans="1:21" ht="39.950000000000003" customHeight="1" thickBot="1" x14ac:dyDescent="0.3">
      <c r="A35" s="97" t="s">
        <v>39</v>
      </c>
      <c r="B35" s="98">
        <f t="shared" si="10"/>
        <v>5</v>
      </c>
      <c r="C35" s="125">
        <f t="shared" si="10"/>
        <v>31064162.399999999</v>
      </c>
      <c r="D35" s="125">
        <f t="shared" si="10"/>
        <v>10946488.720000001</v>
      </c>
      <c r="E35" s="68">
        <f t="shared" si="10"/>
        <v>20117673.68</v>
      </c>
      <c r="F35" s="99">
        <f t="shared" si="10"/>
        <v>0</v>
      </c>
      <c r="G35" s="125">
        <f t="shared" ref="G35:O35" si="12">G23+G32</f>
        <v>0</v>
      </c>
      <c r="H35" s="125">
        <f t="shared" si="12"/>
        <v>10532826.901999999</v>
      </c>
      <c r="I35" s="125">
        <f t="shared" si="12"/>
        <v>9584846.777999999</v>
      </c>
      <c r="J35" s="125">
        <f t="shared" si="12"/>
        <v>0</v>
      </c>
      <c r="K35" s="125">
        <f t="shared" si="12"/>
        <v>0</v>
      </c>
      <c r="L35" s="125">
        <f t="shared" si="12"/>
        <v>0</v>
      </c>
      <c r="M35" s="125">
        <f t="shared" si="12"/>
        <v>0</v>
      </c>
      <c r="N35" s="125">
        <f t="shared" si="12"/>
        <v>0</v>
      </c>
      <c r="O35" s="125">
        <f t="shared" ca="1" si="12"/>
        <v>0</v>
      </c>
      <c r="P35" s="11" t="b">
        <f t="shared" si="4"/>
        <v>1</v>
      </c>
      <c r="Q35" s="31" t="b">
        <f t="shared" ca="1" si="5"/>
        <v>1</v>
      </c>
      <c r="R35" s="20"/>
      <c r="S35" s="20"/>
      <c r="T35" s="2"/>
      <c r="U35" s="2"/>
    </row>
    <row r="36" spans="1:21" ht="15.75" thickTop="1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0"/>
      <c r="S36" s="20"/>
      <c r="T36" s="2"/>
      <c r="U36" s="2"/>
    </row>
    <row r="37" spans="1:21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0"/>
      <c r="S37" s="20"/>
      <c r="T37" s="2"/>
      <c r="U37" s="2"/>
    </row>
    <row r="38" spans="1:21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0"/>
      <c r="S38" s="20"/>
      <c r="T38" s="2"/>
      <c r="U38" s="2"/>
    </row>
    <row r="39" spans="1:21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0"/>
      <c r="S39" s="20"/>
      <c r="T39" s="2"/>
      <c r="U39" s="2"/>
    </row>
    <row r="40" spans="1:21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"/>
      <c r="S40" s="2"/>
      <c r="T40" s="2"/>
      <c r="U40" s="2"/>
    </row>
    <row r="41" spans="1:21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"/>
      <c r="S41" s="2"/>
      <c r="T41" s="2"/>
      <c r="U41" s="2"/>
    </row>
    <row r="42" spans="1:21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"/>
      <c r="S42" s="2"/>
      <c r="T42" s="2"/>
      <c r="U42" s="2"/>
    </row>
  </sheetData>
  <mergeCells count="9">
    <mergeCell ref="G1:H1"/>
    <mergeCell ref="F2:N6"/>
    <mergeCell ref="F7:N7"/>
    <mergeCell ref="A10:A11"/>
    <mergeCell ref="B10:B11"/>
    <mergeCell ref="C10:C11"/>
    <mergeCell ref="D10:D11"/>
    <mergeCell ref="E10:E11"/>
    <mergeCell ref="F10:O10"/>
  </mergeCells>
  <pageMargins left="0.70866141732283472" right="0.70866141732283472" top="0.74803149606299213" bottom="0.74803149606299213" header="0.31496062992125984" footer="0.31496062992125984"/>
  <pageSetup paperSize="8" scale="65" orientation="landscape" r:id="rId1"/>
  <headerFooter>
    <oddHeader>&amp;LWojewództwo &amp;K000000Opolskie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G35"/>
  <sheetViews>
    <sheetView showGridLines="0" tabSelected="1" view="pageBreakPreview" topLeftCell="H1" zoomScale="110" zoomScaleNormal="78" zoomScaleSheetLayoutView="110" workbookViewId="0">
      <pane ySplit="2" topLeftCell="A3" activePane="bottomLeft" state="frozen"/>
      <selection pane="bottomLeft" activeCell="Q14" sqref="Q14"/>
    </sheetView>
  </sheetViews>
  <sheetFormatPr defaultColWidth="9.140625" defaultRowHeight="15" x14ac:dyDescent="0.25"/>
  <cols>
    <col min="1" max="1" width="9.7109375" style="3" customWidth="1"/>
    <col min="2" max="5" width="15.5703125" style="3" customWidth="1"/>
    <col min="6" max="6" width="54.7109375" style="3" bestFit="1" customWidth="1"/>
    <col min="7" max="7" width="13" style="3" bestFit="1" customWidth="1"/>
    <col min="8" max="8" width="15" style="3" customWidth="1"/>
    <col min="9" max="9" width="20.42578125" style="3" bestFit="1" customWidth="1"/>
    <col min="10" max="10" width="18.140625" style="341" customWidth="1"/>
    <col min="11" max="11" width="15.42578125" style="17" customWidth="1"/>
    <col min="12" max="12" width="18.5703125" style="17" customWidth="1"/>
    <col min="13" max="14" width="15.5703125" style="1" customWidth="1"/>
    <col min="15" max="23" width="15.5703125" style="3" customWidth="1"/>
    <col min="24" max="24" width="15.5703125" style="321" customWidth="1"/>
    <col min="25" max="26" width="15.7109375" style="320" customWidth="1"/>
    <col min="27" max="27" width="15.7109375" style="321" customWidth="1"/>
    <col min="28" max="29" width="9.140625" style="2"/>
    <col min="30" max="30" width="11.7109375" style="2" bestFit="1" customWidth="1"/>
    <col min="31" max="41" width="9.140625" style="2"/>
    <col min="42" max="16384" width="9.140625" style="3"/>
  </cols>
  <sheetData>
    <row r="1" spans="1:163" ht="20.100000000000001" customHeight="1" x14ac:dyDescent="0.25">
      <c r="A1" s="411" t="s">
        <v>4</v>
      </c>
      <c r="B1" s="411" t="s">
        <v>5</v>
      </c>
      <c r="C1" s="420" t="s">
        <v>43</v>
      </c>
      <c r="D1" s="416" t="s">
        <v>6</v>
      </c>
      <c r="E1" s="416" t="s">
        <v>31</v>
      </c>
      <c r="F1" s="416" t="s">
        <v>7</v>
      </c>
      <c r="G1" s="411" t="s">
        <v>26</v>
      </c>
      <c r="H1" s="411" t="s">
        <v>268</v>
      </c>
      <c r="I1" s="411" t="s">
        <v>23</v>
      </c>
      <c r="J1" s="412" t="s">
        <v>8</v>
      </c>
      <c r="K1" s="411" t="s">
        <v>15</v>
      </c>
      <c r="L1" s="416" t="s">
        <v>12</v>
      </c>
      <c r="M1" s="411" t="s">
        <v>10</v>
      </c>
      <c r="N1" s="413" t="s">
        <v>11</v>
      </c>
      <c r="O1" s="414"/>
      <c r="P1" s="414"/>
      <c r="Q1" s="414"/>
      <c r="R1" s="414"/>
      <c r="S1" s="414"/>
      <c r="T1" s="414"/>
      <c r="U1" s="414"/>
      <c r="V1" s="414"/>
      <c r="W1" s="415"/>
      <c r="X1" s="320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</row>
    <row r="2" spans="1:163" ht="49.5" customHeight="1" x14ac:dyDescent="0.25">
      <c r="A2" s="411"/>
      <c r="B2" s="411"/>
      <c r="C2" s="421"/>
      <c r="D2" s="417"/>
      <c r="E2" s="417"/>
      <c r="F2" s="417"/>
      <c r="G2" s="411"/>
      <c r="H2" s="411"/>
      <c r="I2" s="411"/>
      <c r="J2" s="412"/>
      <c r="K2" s="411"/>
      <c r="L2" s="417"/>
      <c r="M2" s="411"/>
      <c r="N2" s="262">
        <v>2019</v>
      </c>
      <c r="O2" s="262">
        <v>2020</v>
      </c>
      <c r="P2" s="262">
        <v>2021</v>
      </c>
      <c r="Q2" s="262">
        <v>2022</v>
      </c>
      <c r="R2" s="262">
        <v>2023</v>
      </c>
      <c r="S2" s="262">
        <v>2024</v>
      </c>
      <c r="T2" s="262">
        <v>2025</v>
      </c>
      <c r="U2" s="262">
        <v>2026</v>
      </c>
      <c r="V2" s="262">
        <v>2027</v>
      </c>
      <c r="W2" s="279">
        <v>2028</v>
      </c>
      <c r="X2" s="320" t="s">
        <v>27</v>
      </c>
      <c r="Y2" s="320" t="s">
        <v>28</v>
      </c>
      <c r="Z2" s="320" t="s">
        <v>29</v>
      </c>
      <c r="AA2" s="293" t="s">
        <v>30</v>
      </c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</row>
    <row r="3" spans="1:163" s="284" customFormat="1" ht="42.75" customHeight="1" x14ac:dyDescent="0.25">
      <c r="A3" s="128">
        <v>1</v>
      </c>
      <c r="B3" s="280" t="s">
        <v>103</v>
      </c>
      <c r="C3" s="224" t="s">
        <v>47</v>
      </c>
      <c r="D3" s="224" t="s">
        <v>48</v>
      </c>
      <c r="E3" s="224" t="s">
        <v>90</v>
      </c>
      <c r="F3" s="224" t="s">
        <v>61</v>
      </c>
      <c r="G3" s="224" t="s">
        <v>46</v>
      </c>
      <c r="H3" s="224">
        <v>0.498</v>
      </c>
      <c r="I3" s="224" t="s">
        <v>88</v>
      </c>
      <c r="J3" s="330">
        <v>7120893.6500000004</v>
      </c>
      <c r="K3" s="330">
        <f>ROUND(J3*M3,2)</f>
        <v>3560446.83</v>
      </c>
      <c r="L3" s="330">
        <f>J3-K3</f>
        <v>3560446.8200000003</v>
      </c>
      <c r="M3" s="282">
        <v>0.5</v>
      </c>
      <c r="N3" s="281">
        <v>0</v>
      </c>
      <c r="O3" s="281">
        <v>1850466.57</v>
      </c>
      <c r="P3" s="281">
        <v>1709980.26</v>
      </c>
      <c r="Q3" s="283">
        <v>0</v>
      </c>
      <c r="R3" s="283">
        <v>0</v>
      </c>
      <c r="S3" s="283">
        <v>0</v>
      </c>
      <c r="T3" s="283">
        <v>0</v>
      </c>
      <c r="U3" s="283">
        <v>0</v>
      </c>
      <c r="V3" s="283">
        <v>0</v>
      </c>
      <c r="W3" s="314">
        <v>0</v>
      </c>
      <c r="X3" s="320" t="b">
        <f t="shared" ref="X3:X13" si="0">K3=SUM(O3:W3)</f>
        <v>1</v>
      </c>
      <c r="Y3" s="322">
        <f t="shared" ref="Y3:Y17" si="1">ROUND(K3/J3,4)</f>
        <v>0.5</v>
      </c>
      <c r="Z3" s="323" t="b">
        <f t="shared" ref="Z3:Z17" si="2">Y3=M3</f>
        <v>1</v>
      </c>
      <c r="AA3" s="323" t="b">
        <f t="shared" ref="AA3:AA17" si="3">J3=K3+L3</f>
        <v>1</v>
      </c>
      <c r="AB3" s="324"/>
      <c r="AC3" s="324"/>
      <c r="AD3" s="324"/>
      <c r="AE3" s="324"/>
      <c r="AF3" s="324"/>
      <c r="AG3" s="324"/>
      <c r="AH3" s="324"/>
      <c r="AI3" s="324"/>
      <c r="AJ3" s="324"/>
      <c r="AK3" s="324"/>
      <c r="AL3" s="324"/>
      <c r="AM3" s="324"/>
      <c r="AN3" s="324"/>
      <c r="AO3" s="324"/>
      <c r="AP3" s="324"/>
      <c r="AQ3" s="324"/>
      <c r="AR3" s="324"/>
      <c r="AS3" s="324"/>
      <c r="AT3" s="324"/>
      <c r="AU3" s="324"/>
      <c r="AV3" s="324"/>
      <c r="AW3" s="324"/>
      <c r="AX3" s="324"/>
      <c r="AY3" s="324"/>
      <c r="AZ3" s="324"/>
      <c r="BA3" s="324"/>
      <c r="BB3" s="324"/>
      <c r="BC3" s="324"/>
      <c r="BD3" s="324"/>
      <c r="BE3" s="324"/>
      <c r="BF3" s="324"/>
      <c r="BG3" s="324"/>
      <c r="BH3" s="324"/>
      <c r="BI3" s="324"/>
      <c r="BJ3" s="324"/>
      <c r="BK3" s="324"/>
      <c r="BL3" s="324"/>
      <c r="BM3" s="324"/>
      <c r="BN3" s="324"/>
      <c r="BO3" s="324"/>
      <c r="BP3" s="324"/>
      <c r="BQ3" s="324"/>
      <c r="BR3" s="324"/>
      <c r="BS3" s="324"/>
      <c r="BT3" s="324"/>
      <c r="BU3" s="324"/>
      <c r="BV3" s="324"/>
      <c r="BW3" s="324"/>
      <c r="BX3" s="324"/>
      <c r="BY3" s="324"/>
      <c r="BZ3" s="324"/>
      <c r="CA3" s="324"/>
      <c r="CB3" s="324"/>
      <c r="CC3" s="324"/>
      <c r="CD3" s="324"/>
      <c r="CE3" s="324"/>
      <c r="CF3" s="324"/>
      <c r="CG3" s="324"/>
      <c r="CH3" s="324"/>
      <c r="CI3" s="324"/>
      <c r="CJ3" s="324"/>
      <c r="CK3" s="324"/>
      <c r="CL3" s="324"/>
      <c r="CM3" s="324"/>
      <c r="CN3" s="324"/>
      <c r="CO3" s="324"/>
      <c r="CP3" s="324"/>
      <c r="CQ3" s="324"/>
      <c r="CR3" s="324"/>
      <c r="CS3" s="324"/>
      <c r="CT3" s="324"/>
      <c r="CU3" s="324"/>
      <c r="CV3" s="324"/>
      <c r="CW3" s="324"/>
      <c r="CX3" s="324"/>
      <c r="CY3" s="324"/>
      <c r="CZ3" s="324"/>
      <c r="DA3" s="324"/>
      <c r="DB3" s="324"/>
      <c r="DC3" s="324"/>
      <c r="DD3" s="324"/>
      <c r="DE3" s="324"/>
      <c r="DF3" s="324"/>
      <c r="DG3" s="324"/>
      <c r="DH3" s="324"/>
      <c r="DI3" s="324"/>
      <c r="DJ3" s="324"/>
      <c r="DK3" s="324"/>
      <c r="DL3" s="324"/>
      <c r="DM3" s="324"/>
      <c r="DN3" s="324"/>
      <c r="DO3" s="324"/>
      <c r="DP3" s="324"/>
      <c r="DQ3" s="324"/>
      <c r="DR3" s="324"/>
      <c r="DS3" s="324"/>
      <c r="DT3" s="324"/>
      <c r="DU3" s="324"/>
      <c r="DV3" s="324"/>
      <c r="DW3" s="324"/>
      <c r="DX3" s="324"/>
      <c r="DY3" s="324"/>
      <c r="DZ3" s="324"/>
      <c r="EA3" s="324"/>
      <c r="EB3" s="324"/>
      <c r="EC3" s="324"/>
      <c r="ED3" s="324"/>
      <c r="EE3" s="324"/>
      <c r="EF3" s="324"/>
      <c r="EG3" s="324"/>
      <c r="EH3" s="324"/>
      <c r="EI3" s="324"/>
      <c r="EJ3" s="324"/>
      <c r="EK3" s="324"/>
      <c r="EL3" s="324"/>
      <c r="EM3" s="324"/>
      <c r="EN3" s="324"/>
      <c r="EO3" s="324"/>
      <c r="EP3" s="324"/>
      <c r="EQ3" s="324"/>
      <c r="ER3" s="324"/>
      <c r="ES3" s="324"/>
      <c r="ET3" s="324"/>
      <c r="EU3" s="324"/>
      <c r="EV3" s="324"/>
      <c r="EW3" s="324"/>
      <c r="EX3" s="324"/>
      <c r="EY3" s="324"/>
      <c r="EZ3" s="324"/>
      <c r="FA3" s="324"/>
      <c r="FB3" s="324"/>
      <c r="FC3" s="324"/>
      <c r="FD3" s="324"/>
      <c r="FE3" s="324"/>
      <c r="FF3" s="324"/>
      <c r="FG3" s="324"/>
    </row>
    <row r="4" spans="1:163" s="117" customFormat="1" ht="47.25" customHeight="1" x14ac:dyDescent="0.25">
      <c r="A4" s="149">
        <v>2</v>
      </c>
      <c r="B4" s="148" t="s">
        <v>93</v>
      </c>
      <c r="C4" s="149" t="s">
        <v>52</v>
      </c>
      <c r="D4" s="150" t="s">
        <v>56</v>
      </c>
      <c r="E4" s="149">
        <v>1608</v>
      </c>
      <c r="F4" s="254" t="s">
        <v>190</v>
      </c>
      <c r="G4" s="149" t="s">
        <v>46</v>
      </c>
      <c r="H4" s="207">
        <v>0.995</v>
      </c>
      <c r="I4" s="149" t="s">
        <v>349</v>
      </c>
      <c r="J4" s="190">
        <v>439164.77</v>
      </c>
      <c r="K4" s="167">
        <f>ROUND(J4*M4,2)</f>
        <v>219582.39</v>
      </c>
      <c r="L4" s="331">
        <f>J4-K4</f>
        <v>219582.38</v>
      </c>
      <c r="M4" s="131">
        <v>0.5</v>
      </c>
      <c r="N4" s="240">
        <v>0</v>
      </c>
      <c r="O4" s="240">
        <v>0</v>
      </c>
      <c r="P4" s="188">
        <f>K4</f>
        <v>219582.39</v>
      </c>
      <c r="Q4" s="240">
        <v>0</v>
      </c>
      <c r="R4" s="240">
        <v>0</v>
      </c>
      <c r="S4" s="240">
        <v>0</v>
      </c>
      <c r="T4" s="240">
        <v>0</v>
      </c>
      <c r="U4" s="240">
        <v>0</v>
      </c>
      <c r="V4" s="240">
        <v>0</v>
      </c>
      <c r="W4" s="315">
        <v>0</v>
      </c>
      <c r="X4" s="320" t="b">
        <f t="shared" si="0"/>
        <v>1</v>
      </c>
      <c r="Y4" s="322">
        <f t="shared" si="1"/>
        <v>0.5</v>
      </c>
      <c r="Z4" s="323" t="b">
        <f t="shared" si="2"/>
        <v>1</v>
      </c>
      <c r="AA4" s="323" t="b">
        <f t="shared" si="3"/>
        <v>1</v>
      </c>
      <c r="AB4" s="325"/>
      <c r="AC4" s="325"/>
      <c r="AD4" s="325"/>
      <c r="AE4" s="325"/>
      <c r="AF4" s="325"/>
      <c r="AG4" s="325"/>
      <c r="AH4" s="325"/>
      <c r="AI4" s="325"/>
      <c r="AJ4" s="325"/>
      <c r="AK4" s="325"/>
      <c r="AL4" s="325"/>
      <c r="AM4" s="325"/>
      <c r="AN4" s="325"/>
      <c r="AO4" s="325"/>
      <c r="AP4" s="325"/>
      <c r="AQ4" s="325"/>
      <c r="AR4" s="325"/>
      <c r="AS4" s="325"/>
      <c r="AT4" s="325"/>
      <c r="AU4" s="325"/>
      <c r="AV4" s="325"/>
      <c r="AW4" s="325"/>
      <c r="AX4" s="325"/>
      <c r="AY4" s="325"/>
      <c r="AZ4" s="325"/>
      <c r="BA4" s="325"/>
      <c r="BB4" s="325"/>
      <c r="BC4" s="325"/>
      <c r="BD4" s="325"/>
      <c r="BE4" s="325"/>
      <c r="BF4" s="325"/>
      <c r="BG4" s="325"/>
      <c r="BH4" s="325"/>
      <c r="BI4" s="325"/>
      <c r="BJ4" s="325"/>
      <c r="BK4" s="325"/>
      <c r="BL4" s="325"/>
      <c r="BM4" s="325"/>
      <c r="BN4" s="325"/>
      <c r="BO4" s="325"/>
      <c r="BP4" s="325"/>
      <c r="BQ4" s="325"/>
      <c r="BR4" s="325"/>
      <c r="BS4" s="325"/>
      <c r="BT4" s="325"/>
      <c r="BU4" s="325"/>
      <c r="BV4" s="325"/>
      <c r="BW4" s="325"/>
      <c r="BX4" s="325"/>
      <c r="BY4" s="325"/>
      <c r="BZ4" s="325"/>
      <c r="CA4" s="325"/>
      <c r="CB4" s="325"/>
      <c r="CC4" s="325"/>
      <c r="CD4" s="325"/>
      <c r="CE4" s="325"/>
      <c r="CF4" s="325"/>
      <c r="CG4" s="325"/>
      <c r="CH4" s="325"/>
      <c r="CI4" s="325"/>
      <c r="CJ4" s="325"/>
      <c r="CK4" s="325"/>
      <c r="CL4" s="325"/>
      <c r="CM4" s="325"/>
      <c r="CN4" s="325"/>
      <c r="CO4" s="325"/>
      <c r="CP4" s="325"/>
      <c r="CQ4" s="325"/>
      <c r="CR4" s="325"/>
      <c r="CS4" s="325"/>
      <c r="CT4" s="325"/>
      <c r="CU4" s="325"/>
      <c r="CV4" s="325"/>
      <c r="CW4" s="325"/>
      <c r="CX4" s="325"/>
      <c r="CY4" s="325"/>
      <c r="CZ4" s="325"/>
      <c r="DA4" s="325"/>
      <c r="DB4" s="325"/>
      <c r="DC4" s="325"/>
      <c r="DD4" s="325"/>
      <c r="DE4" s="325"/>
      <c r="DF4" s="325"/>
      <c r="DG4" s="325"/>
      <c r="DH4" s="325"/>
      <c r="DI4" s="325"/>
      <c r="DJ4" s="325"/>
      <c r="DK4" s="325"/>
      <c r="DL4" s="325"/>
      <c r="DM4" s="325"/>
      <c r="DN4" s="325"/>
      <c r="DO4" s="325"/>
      <c r="DP4" s="325"/>
      <c r="DQ4" s="325"/>
      <c r="DR4" s="325"/>
      <c r="DS4" s="325"/>
      <c r="DT4" s="325"/>
      <c r="DU4" s="325"/>
      <c r="DV4" s="325"/>
      <c r="DW4" s="325"/>
      <c r="DX4" s="325"/>
      <c r="DY4" s="325"/>
      <c r="DZ4" s="325"/>
      <c r="EA4" s="325"/>
      <c r="EB4" s="325"/>
      <c r="EC4" s="325"/>
      <c r="ED4" s="325"/>
      <c r="EE4" s="325"/>
      <c r="EF4" s="325"/>
      <c r="EG4" s="325"/>
      <c r="EH4" s="325"/>
      <c r="EI4" s="325"/>
      <c r="EJ4" s="325"/>
      <c r="EK4" s="325"/>
      <c r="EL4" s="325"/>
      <c r="EM4" s="325"/>
      <c r="EN4" s="325"/>
      <c r="EO4" s="325"/>
      <c r="EP4" s="325"/>
      <c r="EQ4" s="325"/>
      <c r="ER4" s="325"/>
      <c r="ES4" s="325"/>
      <c r="ET4" s="325"/>
      <c r="EU4" s="325"/>
      <c r="EV4" s="325"/>
      <c r="EW4" s="325"/>
      <c r="EX4" s="325"/>
      <c r="EY4" s="325"/>
      <c r="EZ4" s="325"/>
      <c r="FA4" s="325"/>
      <c r="FB4" s="325"/>
      <c r="FC4" s="325"/>
      <c r="FD4" s="325"/>
      <c r="FE4" s="325"/>
      <c r="FF4" s="325"/>
      <c r="FG4" s="325"/>
    </row>
    <row r="5" spans="1:163" s="117" customFormat="1" ht="35.1" customHeight="1" x14ac:dyDescent="0.25">
      <c r="A5" s="149">
        <v>3</v>
      </c>
      <c r="B5" s="148" t="s">
        <v>94</v>
      </c>
      <c r="C5" s="153" t="s">
        <v>52</v>
      </c>
      <c r="D5" s="150" t="s">
        <v>83</v>
      </c>
      <c r="E5" s="166" t="s">
        <v>300</v>
      </c>
      <c r="F5" s="254" t="s">
        <v>191</v>
      </c>
      <c r="G5" s="149" t="s">
        <v>46</v>
      </c>
      <c r="H5" s="207">
        <v>3.8559999999999999</v>
      </c>
      <c r="I5" s="154" t="s">
        <v>293</v>
      </c>
      <c r="J5" s="190">
        <v>4536122.34</v>
      </c>
      <c r="K5" s="167">
        <f t="shared" ref="K5:K13" si="4">ROUND(J5*M5,2)</f>
        <v>2268061.17</v>
      </c>
      <c r="L5" s="331">
        <f t="shared" ref="L5:L17" si="5">J5-K5</f>
        <v>2268061.17</v>
      </c>
      <c r="M5" s="131">
        <v>0.5</v>
      </c>
      <c r="N5" s="240">
        <v>0</v>
      </c>
      <c r="O5" s="240">
        <v>0</v>
      </c>
      <c r="P5" s="188">
        <f t="shared" ref="P5:P16" si="6">K5</f>
        <v>2268061.17</v>
      </c>
      <c r="Q5" s="240">
        <v>0</v>
      </c>
      <c r="R5" s="240">
        <v>0</v>
      </c>
      <c r="S5" s="240">
        <v>0</v>
      </c>
      <c r="T5" s="240">
        <v>0</v>
      </c>
      <c r="U5" s="240">
        <v>0</v>
      </c>
      <c r="V5" s="240">
        <v>0</v>
      </c>
      <c r="W5" s="315">
        <v>0</v>
      </c>
      <c r="X5" s="320" t="b">
        <f t="shared" si="0"/>
        <v>1</v>
      </c>
      <c r="Y5" s="322">
        <f t="shared" si="1"/>
        <v>0.5</v>
      </c>
      <c r="Z5" s="323" t="b">
        <f t="shared" si="2"/>
        <v>1</v>
      </c>
      <c r="AA5" s="323" t="b">
        <f t="shared" si="3"/>
        <v>1</v>
      </c>
      <c r="AB5" s="325"/>
      <c r="AC5" s="325"/>
      <c r="AD5" s="325"/>
      <c r="AE5" s="325"/>
      <c r="AF5" s="325"/>
      <c r="AG5" s="325"/>
      <c r="AH5" s="325"/>
      <c r="AI5" s="325"/>
      <c r="AJ5" s="325"/>
      <c r="AK5" s="325"/>
      <c r="AL5" s="325"/>
      <c r="AM5" s="325"/>
      <c r="AN5" s="325"/>
      <c r="AO5" s="325"/>
      <c r="AP5" s="325"/>
      <c r="AQ5" s="325"/>
      <c r="AR5" s="325"/>
      <c r="AS5" s="325"/>
      <c r="AT5" s="325"/>
      <c r="AU5" s="325"/>
      <c r="AV5" s="325"/>
      <c r="AW5" s="325"/>
      <c r="AX5" s="325"/>
      <c r="AY5" s="325"/>
      <c r="AZ5" s="325"/>
      <c r="BA5" s="325"/>
      <c r="BB5" s="325"/>
      <c r="BC5" s="325"/>
      <c r="BD5" s="325"/>
      <c r="BE5" s="325"/>
      <c r="BF5" s="325"/>
      <c r="BG5" s="325"/>
      <c r="BH5" s="325"/>
      <c r="BI5" s="325"/>
      <c r="BJ5" s="325"/>
      <c r="BK5" s="325"/>
      <c r="BL5" s="325"/>
      <c r="BM5" s="325"/>
      <c r="BN5" s="325"/>
      <c r="BO5" s="325"/>
      <c r="BP5" s="325"/>
      <c r="BQ5" s="325"/>
      <c r="BR5" s="325"/>
      <c r="BS5" s="325"/>
      <c r="BT5" s="325"/>
      <c r="BU5" s="325"/>
      <c r="BV5" s="325"/>
      <c r="BW5" s="325"/>
      <c r="BX5" s="325"/>
      <c r="BY5" s="325"/>
      <c r="BZ5" s="325"/>
      <c r="CA5" s="325"/>
      <c r="CB5" s="325"/>
      <c r="CC5" s="325"/>
      <c r="CD5" s="325"/>
      <c r="CE5" s="325"/>
      <c r="CF5" s="325"/>
      <c r="CG5" s="325"/>
      <c r="CH5" s="325"/>
      <c r="CI5" s="325"/>
      <c r="CJ5" s="325"/>
      <c r="CK5" s="325"/>
      <c r="CL5" s="325"/>
      <c r="CM5" s="325"/>
      <c r="CN5" s="325"/>
      <c r="CO5" s="325"/>
      <c r="CP5" s="325"/>
      <c r="CQ5" s="325"/>
      <c r="CR5" s="325"/>
      <c r="CS5" s="325"/>
      <c r="CT5" s="325"/>
      <c r="CU5" s="325"/>
      <c r="CV5" s="325"/>
      <c r="CW5" s="325"/>
      <c r="CX5" s="325"/>
      <c r="CY5" s="325"/>
      <c r="CZ5" s="325"/>
      <c r="DA5" s="325"/>
      <c r="DB5" s="325"/>
      <c r="DC5" s="325"/>
      <c r="DD5" s="325"/>
      <c r="DE5" s="325"/>
      <c r="DF5" s="325"/>
      <c r="DG5" s="325"/>
      <c r="DH5" s="325"/>
      <c r="DI5" s="325"/>
      <c r="DJ5" s="325"/>
      <c r="DK5" s="325"/>
      <c r="DL5" s="325"/>
      <c r="DM5" s="325"/>
      <c r="DN5" s="325"/>
      <c r="DO5" s="325"/>
      <c r="DP5" s="325"/>
      <c r="DQ5" s="325"/>
      <c r="DR5" s="325"/>
      <c r="DS5" s="325"/>
      <c r="DT5" s="325"/>
      <c r="DU5" s="325"/>
      <c r="DV5" s="325"/>
      <c r="DW5" s="325"/>
      <c r="DX5" s="325"/>
      <c r="DY5" s="325"/>
      <c r="DZ5" s="325"/>
      <c r="EA5" s="325"/>
      <c r="EB5" s="325"/>
      <c r="EC5" s="325"/>
      <c r="ED5" s="325"/>
      <c r="EE5" s="325"/>
      <c r="EF5" s="325"/>
      <c r="EG5" s="325"/>
      <c r="EH5" s="325"/>
      <c r="EI5" s="325"/>
      <c r="EJ5" s="325"/>
      <c r="EK5" s="325"/>
      <c r="EL5" s="325"/>
      <c r="EM5" s="325"/>
      <c r="EN5" s="325"/>
      <c r="EO5" s="325"/>
      <c r="EP5" s="325"/>
      <c r="EQ5" s="325"/>
      <c r="ER5" s="325"/>
      <c r="ES5" s="325"/>
      <c r="ET5" s="325"/>
      <c r="EU5" s="325"/>
      <c r="EV5" s="325"/>
      <c r="EW5" s="325"/>
      <c r="EX5" s="325"/>
      <c r="EY5" s="325"/>
      <c r="EZ5" s="325"/>
      <c r="FA5" s="325"/>
      <c r="FB5" s="325"/>
      <c r="FC5" s="325"/>
      <c r="FD5" s="325"/>
      <c r="FE5" s="325"/>
      <c r="FF5" s="325"/>
      <c r="FG5" s="325"/>
    </row>
    <row r="6" spans="1:163" s="117" customFormat="1" ht="35.1" customHeight="1" x14ac:dyDescent="0.25">
      <c r="A6" s="149">
        <v>4</v>
      </c>
      <c r="B6" s="148" t="s">
        <v>95</v>
      </c>
      <c r="C6" s="143" t="s">
        <v>52</v>
      </c>
      <c r="D6" s="150" t="s">
        <v>83</v>
      </c>
      <c r="E6" s="166" t="s">
        <v>300</v>
      </c>
      <c r="F6" s="150" t="s">
        <v>334</v>
      </c>
      <c r="G6" s="193" t="s">
        <v>46</v>
      </c>
      <c r="H6" s="208">
        <v>3.71</v>
      </c>
      <c r="I6" s="154" t="s">
        <v>293</v>
      </c>
      <c r="J6" s="190">
        <v>3489399.41</v>
      </c>
      <c r="K6" s="167">
        <f t="shared" si="4"/>
        <v>1744699.71</v>
      </c>
      <c r="L6" s="331">
        <f t="shared" si="5"/>
        <v>1744699.7000000002</v>
      </c>
      <c r="M6" s="131">
        <v>0.5</v>
      </c>
      <c r="N6" s="240">
        <v>0</v>
      </c>
      <c r="O6" s="240">
        <v>0</v>
      </c>
      <c r="P6" s="188">
        <f t="shared" si="6"/>
        <v>1744699.71</v>
      </c>
      <c r="Q6" s="240">
        <v>0</v>
      </c>
      <c r="R6" s="240">
        <v>0</v>
      </c>
      <c r="S6" s="240">
        <v>0</v>
      </c>
      <c r="T6" s="240">
        <v>0</v>
      </c>
      <c r="U6" s="240">
        <v>0</v>
      </c>
      <c r="V6" s="240">
        <v>0</v>
      </c>
      <c r="W6" s="315">
        <v>0</v>
      </c>
      <c r="X6" s="320" t="b">
        <f t="shared" si="0"/>
        <v>1</v>
      </c>
      <c r="Y6" s="322">
        <f t="shared" si="1"/>
        <v>0.5</v>
      </c>
      <c r="Z6" s="323" t="b">
        <f t="shared" si="2"/>
        <v>1</v>
      </c>
      <c r="AA6" s="323" t="b">
        <f t="shared" si="3"/>
        <v>1</v>
      </c>
      <c r="AB6" s="325"/>
      <c r="AC6" s="325"/>
      <c r="AD6" s="325"/>
      <c r="AE6" s="325"/>
      <c r="AF6" s="325"/>
      <c r="AG6" s="325"/>
      <c r="AH6" s="325"/>
      <c r="AI6" s="325"/>
      <c r="AJ6" s="325"/>
      <c r="AK6" s="325"/>
      <c r="AL6" s="325"/>
      <c r="AM6" s="325"/>
      <c r="AN6" s="325"/>
      <c r="AO6" s="325"/>
      <c r="AP6" s="325"/>
      <c r="AQ6" s="325"/>
      <c r="AR6" s="325"/>
      <c r="AS6" s="325"/>
      <c r="AT6" s="325"/>
      <c r="AU6" s="325"/>
      <c r="AV6" s="325"/>
      <c r="AW6" s="325"/>
      <c r="AX6" s="325"/>
      <c r="AY6" s="325"/>
      <c r="AZ6" s="325"/>
      <c r="BA6" s="325"/>
      <c r="BB6" s="325"/>
      <c r="BC6" s="325"/>
      <c r="BD6" s="325"/>
      <c r="BE6" s="325"/>
      <c r="BF6" s="325"/>
      <c r="BG6" s="325"/>
      <c r="BH6" s="325"/>
      <c r="BI6" s="325"/>
      <c r="BJ6" s="325"/>
      <c r="BK6" s="325"/>
      <c r="BL6" s="325"/>
      <c r="BM6" s="325"/>
      <c r="BN6" s="325"/>
      <c r="BO6" s="325"/>
      <c r="BP6" s="325"/>
      <c r="BQ6" s="325"/>
      <c r="BR6" s="325"/>
      <c r="BS6" s="325"/>
      <c r="BT6" s="325"/>
      <c r="BU6" s="325"/>
      <c r="BV6" s="325"/>
      <c r="BW6" s="325"/>
      <c r="BX6" s="325"/>
      <c r="BY6" s="325"/>
      <c r="BZ6" s="325"/>
      <c r="CA6" s="325"/>
      <c r="CB6" s="325"/>
      <c r="CC6" s="325"/>
      <c r="CD6" s="325"/>
      <c r="CE6" s="325"/>
      <c r="CF6" s="325"/>
      <c r="CG6" s="325"/>
      <c r="CH6" s="325"/>
      <c r="CI6" s="325"/>
      <c r="CJ6" s="325"/>
      <c r="CK6" s="325"/>
      <c r="CL6" s="325"/>
      <c r="CM6" s="325"/>
      <c r="CN6" s="325"/>
      <c r="CO6" s="325"/>
      <c r="CP6" s="325"/>
      <c r="CQ6" s="325"/>
      <c r="CR6" s="325"/>
      <c r="CS6" s="325"/>
      <c r="CT6" s="325"/>
      <c r="CU6" s="325"/>
      <c r="CV6" s="325"/>
      <c r="CW6" s="325"/>
      <c r="CX6" s="325"/>
      <c r="CY6" s="325"/>
      <c r="CZ6" s="325"/>
      <c r="DA6" s="325"/>
      <c r="DB6" s="325"/>
      <c r="DC6" s="325"/>
      <c r="DD6" s="325"/>
      <c r="DE6" s="325"/>
      <c r="DF6" s="325"/>
      <c r="DG6" s="325"/>
      <c r="DH6" s="325"/>
      <c r="DI6" s="325"/>
      <c r="DJ6" s="325"/>
      <c r="DK6" s="325"/>
      <c r="DL6" s="325"/>
      <c r="DM6" s="325"/>
      <c r="DN6" s="325"/>
      <c r="DO6" s="325"/>
      <c r="DP6" s="325"/>
      <c r="DQ6" s="325"/>
      <c r="DR6" s="325"/>
      <c r="DS6" s="325"/>
      <c r="DT6" s="325"/>
      <c r="DU6" s="325"/>
      <c r="DV6" s="325"/>
      <c r="DW6" s="325"/>
      <c r="DX6" s="325"/>
      <c r="DY6" s="325"/>
      <c r="DZ6" s="325"/>
      <c r="EA6" s="325"/>
      <c r="EB6" s="325"/>
      <c r="EC6" s="325"/>
      <c r="ED6" s="325"/>
      <c r="EE6" s="325"/>
      <c r="EF6" s="325"/>
      <c r="EG6" s="325"/>
      <c r="EH6" s="325"/>
      <c r="EI6" s="325"/>
      <c r="EJ6" s="325"/>
      <c r="EK6" s="325"/>
      <c r="EL6" s="325"/>
      <c r="EM6" s="325"/>
      <c r="EN6" s="325"/>
      <c r="EO6" s="325"/>
      <c r="EP6" s="325"/>
      <c r="EQ6" s="325"/>
      <c r="ER6" s="325"/>
      <c r="ES6" s="325"/>
      <c r="ET6" s="325"/>
      <c r="EU6" s="325"/>
      <c r="EV6" s="325"/>
      <c r="EW6" s="325"/>
      <c r="EX6" s="325"/>
      <c r="EY6" s="325"/>
      <c r="EZ6" s="325"/>
      <c r="FA6" s="325"/>
      <c r="FB6" s="325"/>
      <c r="FC6" s="325"/>
      <c r="FD6" s="325"/>
      <c r="FE6" s="325"/>
      <c r="FF6" s="325"/>
      <c r="FG6" s="325"/>
    </row>
    <row r="7" spans="1:163" s="119" customFormat="1" ht="35.1" customHeight="1" x14ac:dyDescent="0.25">
      <c r="A7" s="149">
        <v>5</v>
      </c>
      <c r="B7" s="148" t="s">
        <v>96</v>
      </c>
      <c r="C7" s="149" t="s">
        <v>52</v>
      </c>
      <c r="D7" s="150" t="s">
        <v>45</v>
      </c>
      <c r="E7" s="166" t="s">
        <v>301</v>
      </c>
      <c r="F7" s="150" t="s">
        <v>192</v>
      </c>
      <c r="G7" s="149" t="s">
        <v>270</v>
      </c>
      <c r="H7" s="207">
        <v>1.5329999999999999</v>
      </c>
      <c r="I7" s="204" t="s">
        <v>278</v>
      </c>
      <c r="J7" s="190">
        <v>6470000</v>
      </c>
      <c r="K7" s="167">
        <f t="shared" si="4"/>
        <v>3235000</v>
      </c>
      <c r="L7" s="331">
        <f t="shared" si="5"/>
        <v>3235000</v>
      </c>
      <c r="M7" s="131">
        <v>0.5</v>
      </c>
      <c r="N7" s="240">
        <v>0</v>
      </c>
      <c r="O7" s="240">
        <v>0</v>
      </c>
      <c r="P7" s="188">
        <f t="shared" si="6"/>
        <v>3235000</v>
      </c>
      <c r="Q7" s="240">
        <v>0</v>
      </c>
      <c r="R7" s="240">
        <v>0</v>
      </c>
      <c r="S7" s="240">
        <v>0</v>
      </c>
      <c r="T7" s="240">
        <v>0</v>
      </c>
      <c r="U7" s="240">
        <v>0</v>
      </c>
      <c r="V7" s="240">
        <v>0</v>
      </c>
      <c r="W7" s="315">
        <v>0</v>
      </c>
      <c r="X7" s="293" t="b">
        <f t="shared" si="0"/>
        <v>1</v>
      </c>
      <c r="Y7" s="294">
        <f t="shared" si="1"/>
        <v>0.5</v>
      </c>
      <c r="Z7" s="295" t="b">
        <f t="shared" si="2"/>
        <v>1</v>
      </c>
      <c r="AA7" s="295" t="b">
        <f t="shared" si="3"/>
        <v>1</v>
      </c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2"/>
      <c r="DH7" s="122"/>
      <c r="DI7" s="122"/>
      <c r="DJ7" s="122"/>
      <c r="DK7" s="122"/>
      <c r="DL7" s="122"/>
      <c r="DM7" s="122"/>
      <c r="DN7" s="122"/>
      <c r="DO7" s="122"/>
      <c r="DP7" s="122"/>
      <c r="DQ7" s="122"/>
      <c r="DR7" s="122"/>
      <c r="DS7" s="122"/>
      <c r="DT7" s="122"/>
      <c r="DU7" s="122"/>
      <c r="DV7" s="122"/>
      <c r="DW7" s="122"/>
      <c r="DX7" s="122"/>
      <c r="DY7" s="122"/>
      <c r="DZ7" s="122"/>
      <c r="EA7" s="122"/>
      <c r="EB7" s="122"/>
      <c r="EC7" s="122"/>
      <c r="ED7" s="122"/>
      <c r="EE7" s="122"/>
      <c r="EF7" s="122"/>
      <c r="EG7" s="122"/>
      <c r="EH7" s="122"/>
      <c r="EI7" s="122"/>
      <c r="EJ7" s="122"/>
      <c r="EK7" s="122"/>
      <c r="EL7" s="122"/>
      <c r="EM7" s="122"/>
      <c r="EN7" s="122"/>
      <c r="EO7" s="122"/>
      <c r="EP7" s="122"/>
      <c r="EQ7" s="122"/>
      <c r="ER7" s="122"/>
      <c r="ES7" s="122"/>
      <c r="ET7" s="122"/>
      <c r="EU7" s="122"/>
      <c r="EV7" s="122"/>
      <c r="EW7" s="122"/>
      <c r="EX7" s="122"/>
      <c r="EY7" s="122"/>
      <c r="EZ7" s="122"/>
      <c r="FA7" s="122"/>
      <c r="FB7" s="122"/>
      <c r="FC7" s="122"/>
      <c r="FD7" s="122"/>
      <c r="FE7" s="122"/>
      <c r="FF7" s="122"/>
      <c r="FG7" s="122"/>
    </row>
    <row r="8" spans="1:163" s="119" customFormat="1" ht="35.1" customHeight="1" x14ac:dyDescent="0.25">
      <c r="A8" s="149">
        <v>6</v>
      </c>
      <c r="B8" s="191" t="s">
        <v>97</v>
      </c>
      <c r="C8" s="193" t="s">
        <v>52</v>
      </c>
      <c r="D8" s="144" t="s">
        <v>60</v>
      </c>
      <c r="E8" s="192" t="s">
        <v>302</v>
      </c>
      <c r="F8" s="255" t="s">
        <v>193</v>
      </c>
      <c r="G8" s="193" t="s">
        <v>46</v>
      </c>
      <c r="H8" s="209">
        <v>0.77500000000000002</v>
      </c>
      <c r="I8" s="223" t="s">
        <v>277</v>
      </c>
      <c r="J8" s="332">
        <v>1984096.42</v>
      </c>
      <c r="K8" s="145">
        <f t="shared" si="4"/>
        <v>992048.21</v>
      </c>
      <c r="L8" s="333">
        <f t="shared" si="5"/>
        <v>992048.21</v>
      </c>
      <c r="M8" s="131">
        <v>0.5</v>
      </c>
      <c r="N8" s="240">
        <v>0</v>
      </c>
      <c r="O8" s="240">
        <v>0</v>
      </c>
      <c r="P8" s="188">
        <f t="shared" si="6"/>
        <v>992048.21</v>
      </c>
      <c r="Q8" s="240">
        <v>0</v>
      </c>
      <c r="R8" s="240">
        <v>0</v>
      </c>
      <c r="S8" s="240">
        <v>0</v>
      </c>
      <c r="T8" s="240">
        <v>0</v>
      </c>
      <c r="U8" s="240">
        <v>0</v>
      </c>
      <c r="V8" s="240">
        <v>0</v>
      </c>
      <c r="W8" s="315">
        <v>0</v>
      </c>
      <c r="X8" s="293" t="b">
        <f t="shared" si="0"/>
        <v>1</v>
      </c>
      <c r="Y8" s="294">
        <f t="shared" si="1"/>
        <v>0.5</v>
      </c>
      <c r="Z8" s="295" t="b">
        <f t="shared" si="2"/>
        <v>1</v>
      </c>
      <c r="AA8" s="295" t="b">
        <f t="shared" si="3"/>
        <v>1</v>
      </c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2"/>
      <c r="CH8" s="122"/>
      <c r="CI8" s="122"/>
      <c r="CJ8" s="122"/>
      <c r="CK8" s="122"/>
      <c r="CL8" s="122"/>
      <c r="CM8" s="122"/>
      <c r="CN8" s="122"/>
      <c r="CO8" s="122"/>
      <c r="CP8" s="122"/>
      <c r="CQ8" s="122"/>
      <c r="CR8" s="122"/>
      <c r="CS8" s="122"/>
      <c r="CT8" s="122"/>
      <c r="CU8" s="122"/>
      <c r="CV8" s="122"/>
      <c r="CW8" s="122"/>
      <c r="CX8" s="122"/>
      <c r="CY8" s="122"/>
      <c r="CZ8" s="122"/>
      <c r="DA8" s="122"/>
      <c r="DB8" s="122"/>
      <c r="DC8" s="122"/>
      <c r="DD8" s="122"/>
      <c r="DE8" s="122"/>
      <c r="DF8" s="122"/>
      <c r="DG8" s="122"/>
      <c r="DH8" s="122"/>
      <c r="DI8" s="122"/>
      <c r="DJ8" s="122"/>
      <c r="DK8" s="122"/>
      <c r="DL8" s="122"/>
      <c r="DM8" s="122"/>
      <c r="DN8" s="122"/>
      <c r="DO8" s="122"/>
      <c r="DP8" s="122"/>
      <c r="DQ8" s="122"/>
      <c r="DR8" s="122"/>
      <c r="DS8" s="122"/>
      <c r="DT8" s="122"/>
      <c r="DU8" s="122"/>
      <c r="DV8" s="122"/>
      <c r="DW8" s="122"/>
      <c r="DX8" s="122"/>
      <c r="DY8" s="122"/>
      <c r="DZ8" s="122"/>
      <c r="EA8" s="122"/>
      <c r="EB8" s="122"/>
      <c r="EC8" s="122"/>
      <c r="ED8" s="122"/>
      <c r="EE8" s="122"/>
      <c r="EF8" s="122"/>
      <c r="EG8" s="122"/>
      <c r="EH8" s="122"/>
      <c r="EI8" s="122"/>
      <c r="EJ8" s="122"/>
      <c r="EK8" s="122"/>
      <c r="EL8" s="122"/>
      <c r="EM8" s="122"/>
      <c r="EN8" s="122"/>
      <c r="EO8" s="122"/>
      <c r="EP8" s="122"/>
      <c r="EQ8" s="122"/>
      <c r="ER8" s="122"/>
      <c r="ES8" s="122"/>
      <c r="ET8" s="122"/>
      <c r="EU8" s="122"/>
      <c r="EV8" s="122"/>
      <c r="EW8" s="122"/>
      <c r="EX8" s="122"/>
      <c r="EY8" s="122"/>
      <c r="EZ8" s="122"/>
      <c r="FA8" s="122"/>
      <c r="FB8" s="122"/>
      <c r="FC8" s="122"/>
      <c r="FD8" s="122"/>
      <c r="FE8" s="122"/>
      <c r="FF8" s="122"/>
      <c r="FG8" s="122"/>
    </row>
    <row r="9" spans="1:163" s="119" customFormat="1" ht="35.1" customHeight="1" x14ac:dyDescent="0.25">
      <c r="A9" s="149">
        <v>7</v>
      </c>
      <c r="B9" s="148" t="s">
        <v>188</v>
      </c>
      <c r="C9" s="149" t="s">
        <v>52</v>
      </c>
      <c r="D9" s="150" t="s">
        <v>45</v>
      </c>
      <c r="E9" s="166" t="s">
        <v>301</v>
      </c>
      <c r="F9" s="150" t="s">
        <v>194</v>
      </c>
      <c r="G9" s="149" t="s">
        <v>46</v>
      </c>
      <c r="H9" s="207">
        <v>3.254</v>
      </c>
      <c r="I9" s="204" t="s">
        <v>271</v>
      </c>
      <c r="J9" s="332">
        <v>3045000</v>
      </c>
      <c r="K9" s="253">
        <f t="shared" si="4"/>
        <v>1522500</v>
      </c>
      <c r="L9" s="331">
        <f t="shared" si="5"/>
        <v>1522500</v>
      </c>
      <c r="M9" s="131">
        <v>0.5</v>
      </c>
      <c r="N9" s="240">
        <v>0</v>
      </c>
      <c r="O9" s="240">
        <v>0</v>
      </c>
      <c r="P9" s="188">
        <f t="shared" si="6"/>
        <v>1522500</v>
      </c>
      <c r="Q9" s="240">
        <v>0</v>
      </c>
      <c r="R9" s="240">
        <v>0</v>
      </c>
      <c r="S9" s="240">
        <v>0</v>
      </c>
      <c r="T9" s="240">
        <v>0</v>
      </c>
      <c r="U9" s="240">
        <v>0</v>
      </c>
      <c r="V9" s="240">
        <v>0</v>
      </c>
      <c r="W9" s="315">
        <v>0</v>
      </c>
      <c r="X9" s="293" t="b">
        <f t="shared" si="0"/>
        <v>1</v>
      </c>
      <c r="Y9" s="294">
        <f t="shared" si="1"/>
        <v>0.5</v>
      </c>
      <c r="Z9" s="295" t="b">
        <f t="shared" si="2"/>
        <v>1</v>
      </c>
      <c r="AA9" s="295" t="b">
        <f t="shared" si="3"/>
        <v>1</v>
      </c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  <c r="BM9" s="122"/>
      <c r="BN9" s="122"/>
      <c r="BO9" s="122"/>
      <c r="BP9" s="122"/>
      <c r="BQ9" s="122"/>
      <c r="BR9" s="122"/>
      <c r="BS9" s="122"/>
      <c r="BT9" s="122"/>
      <c r="BU9" s="122"/>
      <c r="BV9" s="122"/>
      <c r="BW9" s="122"/>
      <c r="BX9" s="122"/>
      <c r="BY9" s="122"/>
      <c r="BZ9" s="122"/>
      <c r="CA9" s="122"/>
      <c r="CB9" s="122"/>
      <c r="CC9" s="122"/>
      <c r="CD9" s="122"/>
      <c r="CE9" s="122"/>
      <c r="CF9" s="122"/>
      <c r="CG9" s="122"/>
      <c r="CH9" s="122"/>
      <c r="CI9" s="122"/>
      <c r="CJ9" s="122"/>
      <c r="CK9" s="122"/>
      <c r="CL9" s="122"/>
      <c r="CM9" s="122"/>
      <c r="CN9" s="122"/>
      <c r="CO9" s="122"/>
      <c r="CP9" s="122"/>
      <c r="CQ9" s="122"/>
      <c r="CR9" s="122"/>
      <c r="CS9" s="122"/>
      <c r="CT9" s="122"/>
      <c r="CU9" s="122"/>
      <c r="CV9" s="122"/>
      <c r="CW9" s="122"/>
      <c r="CX9" s="122"/>
      <c r="CY9" s="122"/>
      <c r="CZ9" s="122"/>
      <c r="DA9" s="122"/>
      <c r="DB9" s="122"/>
      <c r="DC9" s="122"/>
      <c r="DD9" s="122"/>
      <c r="DE9" s="122"/>
      <c r="DF9" s="122"/>
      <c r="DG9" s="122"/>
      <c r="DH9" s="122"/>
      <c r="DI9" s="122"/>
      <c r="DJ9" s="122"/>
      <c r="DK9" s="122"/>
      <c r="DL9" s="122"/>
      <c r="DM9" s="122"/>
      <c r="DN9" s="122"/>
      <c r="DO9" s="122"/>
      <c r="DP9" s="122"/>
      <c r="DQ9" s="122"/>
      <c r="DR9" s="122"/>
      <c r="DS9" s="122"/>
      <c r="DT9" s="122"/>
      <c r="DU9" s="122"/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</row>
    <row r="10" spans="1:163" s="122" customFormat="1" ht="37.5" customHeight="1" x14ac:dyDescent="0.25">
      <c r="A10" s="149">
        <v>8</v>
      </c>
      <c r="B10" s="148" t="s">
        <v>98</v>
      </c>
      <c r="C10" s="149" t="s">
        <v>52</v>
      </c>
      <c r="D10" s="150" t="s">
        <v>57</v>
      </c>
      <c r="E10" s="166" t="s">
        <v>303</v>
      </c>
      <c r="F10" s="150" t="s">
        <v>319</v>
      </c>
      <c r="G10" s="149" t="s">
        <v>46</v>
      </c>
      <c r="H10" s="207">
        <v>6.3E-2</v>
      </c>
      <c r="I10" s="204" t="s">
        <v>277</v>
      </c>
      <c r="J10" s="190">
        <v>1699639.58</v>
      </c>
      <c r="K10" s="253">
        <f t="shared" si="4"/>
        <v>849819.79</v>
      </c>
      <c r="L10" s="331">
        <f t="shared" si="5"/>
        <v>849819.79</v>
      </c>
      <c r="M10" s="131">
        <v>0.5</v>
      </c>
      <c r="N10" s="240">
        <v>0</v>
      </c>
      <c r="O10" s="240">
        <v>0</v>
      </c>
      <c r="P10" s="188">
        <f t="shared" si="6"/>
        <v>849819.79</v>
      </c>
      <c r="Q10" s="240">
        <v>0</v>
      </c>
      <c r="R10" s="240">
        <v>0</v>
      </c>
      <c r="S10" s="240">
        <v>0</v>
      </c>
      <c r="T10" s="240">
        <v>0</v>
      </c>
      <c r="U10" s="240">
        <v>0</v>
      </c>
      <c r="V10" s="240">
        <v>0</v>
      </c>
      <c r="W10" s="315">
        <v>0</v>
      </c>
      <c r="X10" s="293" t="b">
        <f t="shared" si="0"/>
        <v>1</v>
      </c>
      <c r="Y10" s="294">
        <f t="shared" si="1"/>
        <v>0.5</v>
      </c>
      <c r="Z10" s="295" t="b">
        <f t="shared" si="2"/>
        <v>1</v>
      </c>
      <c r="AA10" s="295" t="b">
        <f t="shared" si="3"/>
        <v>1</v>
      </c>
    </row>
    <row r="11" spans="1:163" s="122" customFormat="1" ht="46.5" customHeight="1" x14ac:dyDescent="0.25">
      <c r="A11" s="128">
        <v>9</v>
      </c>
      <c r="B11" s="155" t="s">
        <v>189</v>
      </c>
      <c r="C11" s="128" t="s">
        <v>89</v>
      </c>
      <c r="D11" s="157" t="s">
        <v>45</v>
      </c>
      <c r="E11" s="174" t="s">
        <v>301</v>
      </c>
      <c r="F11" s="157" t="s">
        <v>195</v>
      </c>
      <c r="G11" s="128" t="s">
        <v>46</v>
      </c>
      <c r="H11" s="210">
        <v>1.1180000000000001</v>
      </c>
      <c r="I11" s="224" t="s">
        <v>304</v>
      </c>
      <c r="J11" s="334">
        <v>3334837.71</v>
      </c>
      <c r="K11" s="302">
        <f t="shared" si="4"/>
        <v>1667418.86</v>
      </c>
      <c r="L11" s="335">
        <f t="shared" si="5"/>
        <v>1667418.8499999999</v>
      </c>
      <c r="M11" s="158">
        <v>0.5</v>
      </c>
      <c r="N11" s="248">
        <v>0</v>
      </c>
      <c r="O11" s="248">
        <v>0</v>
      </c>
      <c r="P11" s="205">
        <v>1000000</v>
      </c>
      <c r="Q11" s="205">
        <v>667418.86</v>
      </c>
      <c r="R11" s="248">
        <v>0</v>
      </c>
      <c r="S11" s="248">
        <v>0</v>
      </c>
      <c r="T11" s="248">
        <v>0</v>
      </c>
      <c r="U11" s="248">
        <v>0</v>
      </c>
      <c r="V11" s="248">
        <v>0</v>
      </c>
      <c r="W11" s="316">
        <v>0</v>
      </c>
      <c r="X11" s="293" t="b">
        <f t="shared" si="0"/>
        <v>1</v>
      </c>
      <c r="Y11" s="294">
        <f t="shared" si="1"/>
        <v>0.5</v>
      </c>
      <c r="Z11" s="295" t="b">
        <f t="shared" si="2"/>
        <v>1</v>
      </c>
      <c r="AA11" s="295" t="b">
        <f t="shared" si="3"/>
        <v>1</v>
      </c>
    </row>
    <row r="12" spans="1:163" s="122" customFormat="1" ht="35.1" customHeight="1" x14ac:dyDescent="0.25">
      <c r="A12" s="149">
        <v>10</v>
      </c>
      <c r="B12" s="148" t="s">
        <v>100</v>
      </c>
      <c r="C12" s="149" t="s">
        <v>52</v>
      </c>
      <c r="D12" s="150" t="s">
        <v>56</v>
      </c>
      <c r="E12" s="222">
        <v>1608</v>
      </c>
      <c r="F12" s="150" t="s">
        <v>197</v>
      </c>
      <c r="G12" s="149" t="s">
        <v>46</v>
      </c>
      <c r="H12" s="207">
        <v>0.995</v>
      </c>
      <c r="I12" s="211" t="s">
        <v>349</v>
      </c>
      <c r="J12" s="189">
        <v>467770.96</v>
      </c>
      <c r="K12" s="253">
        <f t="shared" si="4"/>
        <v>233885.48</v>
      </c>
      <c r="L12" s="331">
        <f t="shared" si="5"/>
        <v>233885.48</v>
      </c>
      <c r="M12" s="131">
        <v>0.5</v>
      </c>
      <c r="N12" s="240">
        <v>0</v>
      </c>
      <c r="O12" s="240">
        <v>0</v>
      </c>
      <c r="P12" s="188">
        <f t="shared" si="6"/>
        <v>233885.48</v>
      </c>
      <c r="Q12" s="240">
        <v>0</v>
      </c>
      <c r="R12" s="240">
        <v>0</v>
      </c>
      <c r="S12" s="240">
        <v>0</v>
      </c>
      <c r="T12" s="240">
        <v>0</v>
      </c>
      <c r="U12" s="240">
        <v>0</v>
      </c>
      <c r="V12" s="240">
        <v>0</v>
      </c>
      <c r="W12" s="315">
        <v>0</v>
      </c>
      <c r="X12" s="293" t="b">
        <f t="shared" si="0"/>
        <v>1</v>
      </c>
      <c r="Y12" s="294">
        <f t="shared" si="1"/>
        <v>0.5</v>
      </c>
      <c r="Z12" s="295" t="b">
        <f t="shared" si="2"/>
        <v>1</v>
      </c>
      <c r="AA12" s="295" t="b">
        <f t="shared" si="3"/>
        <v>1</v>
      </c>
    </row>
    <row r="13" spans="1:163" s="122" customFormat="1" ht="35.1" customHeight="1" x14ac:dyDescent="0.25">
      <c r="A13" s="149">
        <v>11</v>
      </c>
      <c r="B13" s="148" t="s">
        <v>99</v>
      </c>
      <c r="C13" s="149" t="s">
        <v>52</v>
      </c>
      <c r="D13" s="150" t="s">
        <v>60</v>
      </c>
      <c r="E13" s="166" t="s">
        <v>302</v>
      </c>
      <c r="F13" s="150" t="s">
        <v>196</v>
      </c>
      <c r="G13" s="149" t="s">
        <v>46</v>
      </c>
      <c r="H13" s="207">
        <v>0.91700000000000004</v>
      </c>
      <c r="I13" s="185" t="s">
        <v>305</v>
      </c>
      <c r="J13" s="189">
        <v>1360632.49</v>
      </c>
      <c r="K13" s="253">
        <f t="shared" si="4"/>
        <v>680316.25</v>
      </c>
      <c r="L13" s="331">
        <f t="shared" si="5"/>
        <v>680316.24</v>
      </c>
      <c r="M13" s="131">
        <v>0.5</v>
      </c>
      <c r="N13" s="240">
        <v>0</v>
      </c>
      <c r="O13" s="240">
        <v>0</v>
      </c>
      <c r="P13" s="188">
        <f t="shared" si="6"/>
        <v>680316.25</v>
      </c>
      <c r="Q13" s="240">
        <v>0</v>
      </c>
      <c r="R13" s="240">
        <v>0</v>
      </c>
      <c r="S13" s="240">
        <v>0</v>
      </c>
      <c r="T13" s="240">
        <v>0</v>
      </c>
      <c r="U13" s="240">
        <v>0</v>
      </c>
      <c r="V13" s="240">
        <v>0</v>
      </c>
      <c r="W13" s="315">
        <v>0</v>
      </c>
      <c r="X13" s="293" t="b">
        <f t="shared" si="0"/>
        <v>1</v>
      </c>
      <c r="Y13" s="294">
        <f t="shared" si="1"/>
        <v>0.5</v>
      </c>
      <c r="Z13" s="295" t="b">
        <f t="shared" si="2"/>
        <v>1</v>
      </c>
      <c r="AA13" s="295" t="b">
        <f t="shared" si="3"/>
        <v>1</v>
      </c>
    </row>
    <row r="14" spans="1:163" s="122" customFormat="1" ht="35.1" customHeight="1" x14ac:dyDescent="0.25">
      <c r="A14" s="153">
        <v>12</v>
      </c>
      <c r="B14" s="148" t="s">
        <v>101</v>
      </c>
      <c r="C14" s="241" t="s">
        <v>52</v>
      </c>
      <c r="D14" s="150" t="s">
        <v>48</v>
      </c>
      <c r="E14" s="166" t="s">
        <v>90</v>
      </c>
      <c r="F14" s="150" t="s">
        <v>198</v>
      </c>
      <c r="G14" s="256" t="s">
        <v>272</v>
      </c>
      <c r="H14" s="207">
        <v>1.93</v>
      </c>
      <c r="I14" s="185" t="s">
        <v>275</v>
      </c>
      <c r="J14" s="189">
        <v>1490914.89</v>
      </c>
      <c r="K14" s="253">
        <f>ROUND(J14*M14,2)</f>
        <v>745457.45</v>
      </c>
      <c r="L14" s="331">
        <f t="shared" si="5"/>
        <v>745457.44</v>
      </c>
      <c r="M14" s="131">
        <v>0.5</v>
      </c>
      <c r="N14" s="240">
        <v>0</v>
      </c>
      <c r="O14" s="240">
        <v>0</v>
      </c>
      <c r="P14" s="188">
        <f t="shared" si="6"/>
        <v>745457.45</v>
      </c>
      <c r="Q14" s="257">
        <v>0</v>
      </c>
      <c r="R14" s="240">
        <v>0</v>
      </c>
      <c r="S14" s="240">
        <v>0</v>
      </c>
      <c r="T14" s="240">
        <v>0</v>
      </c>
      <c r="U14" s="240">
        <v>0</v>
      </c>
      <c r="V14" s="240">
        <v>0</v>
      </c>
      <c r="W14" s="315">
        <v>0</v>
      </c>
      <c r="X14" s="293" t="b">
        <f>K14=SUM(O14:W14)</f>
        <v>1</v>
      </c>
      <c r="Y14" s="294">
        <f t="shared" si="1"/>
        <v>0.5</v>
      </c>
      <c r="Z14" s="295" t="b">
        <f t="shared" si="2"/>
        <v>1</v>
      </c>
      <c r="AA14" s="295" t="b">
        <f t="shared" si="3"/>
        <v>1</v>
      </c>
    </row>
    <row r="15" spans="1:163" s="122" customFormat="1" ht="61.5" customHeight="1" x14ac:dyDescent="0.25">
      <c r="A15" s="153">
        <v>13</v>
      </c>
      <c r="B15" s="148" t="s">
        <v>102</v>
      </c>
      <c r="C15" s="241" t="s">
        <v>52</v>
      </c>
      <c r="D15" s="150" t="s">
        <v>55</v>
      </c>
      <c r="E15" s="204">
        <v>1609</v>
      </c>
      <c r="F15" s="150" t="s">
        <v>199</v>
      </c>
      <c r="G15" s="256" t="s">
        <v>46</v>
      </c>
      <c r="H15" s="208">
        <v>0.503</v>
      </c>
      <c r="I15" s="233" t="s">
        <v>305</v>
      </c>
      <c r="J15" s="189">
        <v>590343.98</v>
      </c>
      <c r="K15" s="253">
        <f>ROUND(J15*M15,2)</f>
        <v>295171.99</v>
      </c>
      <c r="L15" s="331">
        <f t="shared" si="5"/>
        <v>295171.99</v>
      </c>
      <c r="M15" s="244">
        <v>0.5</v>
      </c>
      <c r="N15" s="240">
        <v>0</v>
      </c>
      <c r="O15" s="240">
        <v>0</v>
      </c>
      <c r="P15" s="188">
        <f t="shared" si="6"/>
        <v>295171.99</v>
      </c>
      <c r="Q15" s="257">
        <v>0</v>
      </c>
      <c r="R15" s="240">
        <v>0</v>
      </c>
      <c r="S15" s="240">
        <v>0</v>
      </c>
      <c r="T15" s="240">
        <v>0</v>
      </c>
      <c r="U15" s="240">
        <v>0</v>
      </c>
      <c r="V15" s="240">
        <v>0</v>
      </c>
      <c r="W15" s="315">
        <v>0</v>
      </c>
      <c r="X15" s="293" t="b">
        <f>K15=SUM(O15:W15)</f>
        <v>1</v>
      </c>
      <c r="Y15" s="294">
        <f t="shared" si="1"/>
        <v>0.5</v>
      </c>
      <c r="Z15" s="295" t="b">
        <f t="shared" si="2"/>
        <v>1</v>
      </c>
      <c r="AA15" s="295" t="b">
        <f t="shared" si="3"/>
        <v>1</v>
      </c>
    </row>
    <row r="16" spans="1:163" s="122" customFormat="1" ht="51" customHeight="1" x14ac:dyDescent="0.25">
      <c r="A16" s="153">
        <v>14</v>
      </c>
      <c r="B16" s="148" t="s">
        <v>104</v>
      </c>
      <c r="C16" s="241" t="s">
        <v>52</v>
      </c>
      <c r="D16" s="150" t="s">
        <v>55</v>
      </c>
      <c r="E16" s="166" t="s">
        <v>306</v>
      </c>
      <c r="F16" s="150" t="s">
        <v>200</v>
      </c>
      <c r="G16" s="149" t="s">
        <v>46</v>
      </c>
      <c r="H16" s="208">
        <v>0.34599999999999997</v>
      </c>
      <c r="I16" s="204" t="s">
        <v>305</v>
      </c>
      <c r="J16" s="189">
        <v>524945.80000000005</v>
      </c>
      <c r="K16" s="253">
        <f>ROUND(J16*M16,2)</f>
        <v>262472.90000000002</v>
      </c>
      <c r="L16" s="331">
        <f t="shared" si="5"/>
        <v>262472.90000000002</v>
      </c>
      <c r="M16" s="244">
        <v>0.5</v>
      </c>
      <c r="N16" s="271">
        <v>0</v>
      </c>
      <c r="O16" s="271">
        <v>0</v>
      </c>
      <c r="P16" s="188">
        <f t="shared" si="6"/>
        <v>262472.90000000002</v>
      </c>
      <c r="Q16" s="272">
        <v>0</v>
      </c>
      <c r="R16" s="271">
        <v>0</v>
      </c>
      <c r="S16" s="271">
        <v>0</v>
      </c>
      <c r="T16" s="271">
        <v>0</v>
      </c>
      <c r="U16" s="271">
        <v>0</v>
      </c>
      <c r="V16" s="271">
        <v>0</v>
      </c>
      <c r="W16" s="317">
        <v>0</v>
      </c>
      <c r="X16" s="293" t="b">
        <f>K16=SUM(O16:W16)</f>
        <v>1</v>
      </c>
      <c r="Y16" s="294">
        <f t="shared" si="1"/>
        <v>0.5</v>
      </c>
      <c r="Z16" s="295" t="b">
        <f t="shared" si="2"/>
        <v>1</v>
      </c>
      <c r="AA16" s="295" t="b">
        <f t="shared" si="3"/>
        <v>1</v>
      </c>
    </row>
    <row r="17" spans="1:27" s="122" customFormat="1" ht="51" customHeight="1" x14ac:dyDescent="0.25">
      <c r="A17" s="285" t="s">
        <v>324</v>
      </c>
      <c r="B17" s="148" t="s">
        <v>105</v>
      </c>
      <c r="C17" s="149" t="s">
        <v>52</v>
      </c>
      <c r="D17" s="150" t="s">
        <v>49</v>
      </c>
      <c r="E17" s="166" t="s">
        <v>307</v>
      </c>
      <c r="F17" s="150" t="s">
        <v>201</v>
      </c>
      <c r="G17" s="149" t="s">
        <v>46</v>
      </c>
      <c r="H17" s="208">
        <v>3.83</v>
      </c>
      <c r="I17" s="204" t="s">
        <v>291</v>
      </c>
      <c r="J17" s="189">
        <v>7532881.4000000004</v>
      </c>
      <c r="K17" s="253">
        <v>1300299.97</v>
      </c>
      <c r="L17" s="331">
        <f t="shared" si="5"/>
        <v>6232581.4300000006</v>
      </c>
      <c r="M17" s="244">
        <v>0.5</v>
      </c>
      <c r="N17" s="240">
        <v>0</v>
      </c>
      <c r="O17" s="240">
        <v>0</v>
      </c>
      <c r="P17" s="253">
        <v>1300299.97</v>
      </c>
      <c r="Q17" s="257">
        <v>0</v>
      </c>
      <c r="R17" s="240">
        <v>0</v>
      </c>
      <c r="S17" s="240">
        <v>0</v>
      </c>
      <c r="T17" s="240">
        <v>0</v>
      </c>
      <c r="U17" s="240">
        <v>0</v>
      </c>
      <c r="V17" s="240">
        <v>0</v>
      </c>
      <c r="W17" s="315">
        <v>0</v>
      </c>
      <c r="X17" s="293" t="b">
        <f>K17=SUM(O17:W17)</f>
        <v>1</v>
      </c>
      <c r="Y17" s="294">
        <f t="shared" si="1"/>
        <v>0.1726</v>
      </c>
      <c r="Z17" s="295" t="b">
        <f t="shared" si="2"/>
        <v>0</v>
      </c>
      <c r="AA17" s="295" t="b">
        <f t="shared" si="3"/>
        <v>1</v>
      </c>
    </row>
    <row r="18" spans="1:27" s="122" customFormat="1" x14ac:dyDescent="0.25">
      <c r="A18" s="229"/>
      <c r="B18" s="242"/>
      <c r="C18" s="242"/>
      <c r="D18" s="242"/>
      <c r="E18" s="242"/>
      <c r="F18" s="242"/>
      <c r="G18" s="243"/>
      <c r="H18" s="242"/>
      <c r="I18" s="242"/>
      <c r="J18" s="336"/>
      <c r="K18" s="336"/>
      <c r="L18" s="336"/>
      <c r="M18" s="242"/>
      <c r="N18" s="242"/>
      <c r="O18" s="242"/>
      <c r="P18" s="242"/>
      <c r="Q18" s="243"/>
      <c r="R18" s="212"/>
      <c r="S18" s="212"/>
      <c r="T18" s="212"/>
      <c r="U18" s="212"/>
      <c r="V18" s="212"/>
      <c r="W18" s="212"/>
      <c r="X18" s="293"/>
      <c r="Y18" s="294"/>
      <c r="Z18" s="295"/>
      <c r="AA18" s="295"/>
    </row>
    <row r="19" spans="1:27" ht="20.100000000000001" customHeight="1" x14ac:dyDescent="0.25">
      <c r="A19" s="419" t="s">
        <v>44</v>
      </c>
      <c r="B19" s="419"/>
      <c r="C19" s="419"/>
      <c r="D19" s="419"/>
      <c r="E19" s="419"/>
      <c r="F19" s="419"/>
      <c r="G19" s="419"/>
      <c r="H19" s="251">
        <f>SUM(H3:H17)</f>
        <v>24.323</v>
      </c>
      <c r="I19" s="160" t="s">
        <v>13</v>
      </c>
      <c r="J19" s="161">
        <f>SUM(J3:J17)</f>
        <v>44086643.399999999</v>
      </c>
      <c r="K19" s="161">
        <f>SUM(K3:K17)</f>
        <v>19577180.999999996</v>
      </c>
      <c r="L19" s="161">
        <f>SUM(L3:L17)</f>
        <v>24509462.399999999</v>
      </c>
      <c r="M19" s="163" t="s">
        <v>13</v>
      </c>
      <c r="N19" s="240">
        <v>0</v>
      </c>
      <c r="O19" s="162">
        <f>SUM(O3:O17)</f>
        <v>1850466.57</v>
      </c>
      <c r="P19" s="162">
        <f>SUM(P3:P17)</f>
        <v>17059295.57</v>
      </c>
      <c r="Q19" s="196">
        <f>SUM(Q3:Q17)</f>
        <v>667418.86</v>
      </c>
      <c r="R19" s="196">
        <f t="shared" ref="R19:W19" si="7">SUM(R3:R17)</f>
        <v>0</v>
      </c>
      <c r="S19" s="196">
        <f t="shared" si="7"/>
        <v>0</v>
      </c>
      <c r="T19" s="196">
        <f t="shared" si="7"/>
        <v>0</v>
      </c>
      <c r="U19" s="196">
        <f t="shared" si="7"/>
        <v>0</v>
      </c>
      <c r="V19" s="196">
        <f t="shared" si="7"/>
        <v>0</v>
      </c>
      <c r="W19" s="318">
        <f t="shared" si="7"/>
        <v>0</v>
      </c>
      <c r="X19" s="320" t="b">
        <f>K19=SUM(O19:W19)</f>
        <v>1</v>
      </c>
      <c r="Y19" s="322">
        <f>ROUND(K19/J19,4)</f>
        <v>0.44409999999999999</v>
      </c>
      <c r="Z19" s="323" t="s">
        <v>13</v>
      </c>
      <c r="AA19" s="323" t="b">
        <f>J19=K19+L19</f>
        <v>1</v>
      </c>
    </row>
    <row r="20" spans="1:27" ht="20.100000000000001" customHeight="1" x14ac:dyDescent="0.25">
      <c r="A20" s="418" t="s">
        <v>37</v>
      </c>
      <c r="B20" s="418"/>
      <c r="C20" s="418"/>
      <c r="D20" s="418"/>
      <c r="E20" s="418"/>
      <c r="F20" s="418"/>
      <c r="G20" s="418"/>
      <c r="H20" s="252">
        <f>SUMIF($C$3:$C$17,"K",H3:H17)</f>
        <v>0.498</v>
      </c>
      <c r="I20" s="263" t="s">
        <v>13</v>
      </c>
      <c r="J20" s="215">
        <f>SUMIF($C$3:$C$17,"K",J3:J17)</f>
        <v>7120893.6500000004</v>
      </c>
      <c r="K20" s="215">
        <f>SUMIF($C$3:$C$17,"K",K3:K17)</f>
        <v>3560446.83</v>
      </c>
      <c r="L20" s="215">
        <f>SUMIF($C$3:$C$17,"K",L3:L17)</f>
        <v>3560446.8200000003</v>
      </c>
      <c r="M20" s="216" t="s">
        <v>13</v>
      </c>
      <c r="N20" s="249">
        <v>0</v>
      </c>
      <c r="O20" s="217">
        <f>SUMIF($C$3:$C$17,"K",O3:O17)</f>
        <v>1850466.57</v>
      </c>
      <c r="P20" s="217">
        <f>SUMIF($C$3:$C$17,"K",P3:P17)</f>
        <v>1709980.26</v>
      </c>
      <c r="Q20" s="218">
        <f>SUMIF($C$3:$C$17,"K",Q3:Q17)</f>
        <v>0</v>
      </c>
      <c r="R20" s="218">
        <f t="shared" ref="R20:W20" si="8">SUMIF($C$3:$C$17,"K",R3:R17)</f>
        <v>0</v>
      </c>
      <c r="S20" s="218">
        <f t="shared" si="8"/>
        <v>0</v>
      </c>
      <c r="T20" s="218">
        <f t="shared" si="8"/>
        <v>0</v>
      </c>
      <c r="U20" s="218">
        <f t="shared" si="8"/>
        <v>0</v>
      </c>
      <c r="V20" s="218">
        <f t="shared" si="8"/>
        <v>0</v>
      </c>
      <c r="W20" s="319">
        <f t="shared" si="8"/>
        <v>0</v>
      </c>
      <c r="X20" s="320" t="b">
        <f>K20=SUM(O20:W20)</f>
        <v>1</v>
      </c>
      <c r="Y20" s="322">
        <f>ROUND(K20/J20,4)</f>
        <v>0.5</v>
      </c>
      <c r="Z20" s="323" t="s">
        <v>13</v>
      </c>
      <c r="AA20" s="323" t="b">
        <f>J20=K20+L20</f>
        <v>1</v>
      </c>
    </row>
    <row r="21" spans="1:27" ht="20.100000000000001" customHeight="1" x14ac:dyDescent="0.25">
      <c r="A21" s="419" t="s">
        <v>38</v>
      </c>
      <c r="B21" s="419"/>
      <c r="C21" s="419"/>
      <c r="D21" s="419"/>
      <c r="E21" s="419"/>
      <c r="F21" s="419"/>
      <c r="G21" s="419"/>
      <c r="H21" s="251">
        <f>SUMIF($C$3:$C$17,"N",H3:H17)</f>
        <v>22.707000000000001</v>
      </c>
      <c r="I21" s="160" t="s">
        <v>13</v>
      </c>
      <c r="J21" s="161">
        <f>SUMIF($C$3:$C$17,"N",J3:J17)</f>
        <v>33630912.039999999</v>
      </c>
      <c r="K21" s="161">
        <f>SUMIF($C$3:$C$17,"N",K3:K17)</f>
        <v>14349315.310000001</v>
      </c>
      <c r="L21" s="161">
        <f>SUMIF($C$3:$C$17,"N",L3:L17)</f>
        <v>19281596.73</v>
      </c>
      <c r="M21" s="163" t="s">
        <v>13</v>
      </c>
      <c r="N21" s="240">
        <v>0</v>
      </c>
      <c r="O21" s="162">
        <f>SUMIF($C$3:$C$17,"N",O3:O17)</f>
        <v>0</v>
      </c>
      <c r="P21" s="162">
        <f>SUMIF($C$3:$C$17,"N",P3:P17)</f>
        <v>14349315.310000001</v>
      </c>
      <c r="Q21" s="196">
        <f>SUMIF($C$3:$C$17,"N",Q3:Q17)</f>
        <v>0</v>
      </c>
      <c r="R21" s="196">
        <f t="shared" ref="R21:W21" si="9">SUMIF($C$3:$C$17,"N",R3:R17)</f>
        <v>0</v>
      </c>
      <c r="S21" s="196">
        <f t="shared" si="9"/>
        <v>0</v>
      </c>
      <c r="T21" s="196">
        <f t="shared" si="9"/>
        <v>0</v>
      </c>
      <c r="U21" s="196">
        <f t="shared" si="9"/>
        <v>0</v>
      </c>
      <c r="V21" s="196">
        <f t="shared" si="9"/>
        <v>0</v>
      </c>
      <c r="W21" s="318">
        <f t="shared" si="9"/>
        <v>0</v>
      </c>
      <c r="X21" s="320" t="b">
        <f>K21=SUM(O21:W21)</f>
        <v>1</v>
      </c>
      <c r="Y21" s="322">
        <f>ROUND(K21/J21,4)</f>
        <v>0.42670000000000002</v>
      </c>
      <c r="Z21" s="323" t="s">
        <v>13</v>
      </c>
      <c r="AA21" s="323" t="b">
        <f>J21=K21+L21</f>
        <v>1</v>
      </c>
    </row>
    <row r="22" spans="1:27" ht="20.100000000000001" customHeight="1" x14ac:dyDescent="0.25">
      <c r="A22" s="418" t="s">
        <v>39</v>
      </c>
      <c r="B22" s="418"/>
      <c r="C22" s="418"/>
      <c r="D22" s="418"/>
      <c r="E22" s="418"/>
      <c r="F22" s="418"/>
      <c r="G22" s="418"/>
      <c r="H22" s="252">
        <f>SUMIF($C$4:$C$17,"W",H3:H17)</f>
        <v>6.3E-2</v>
      </c>
      <c r="I22" s="263" t="s">
        <v>13</v>
      </c>
      <c r="J22" s="215">
        <f>SUMIF($C$3:$C$17,"W",J3:J17)</f>
        <v>3334837.71</v>
      </c>
      <c r="K22" s="217">
        <f>SUMIF($C$3:$C$17,"W",K3:K17)</f>
        <v>1667418.86</v>
      </c>
      <c r="L22" s="217">
        <f>SUMIF($C$3:$C$17,"W",L3:L17)</f>
        <v>1667418.8499999999</v>
      </c>
      <c r="M22" s="216" t="s">
        <v>13</v>
      </c>
      <c r="N22" s="249">
        <v>0</v>
      </c>
      <c r="O22" s="217">
        <f>SUMIF($C$3:$C$17,"W",O3:O17)</f>
        <v>0</v>
      </c>
      <c r="P22" s="217">
        <f>SUMIF($C$3:$C$17,"W",P3:P17)</f>
        <v>1000000</v>
      </c>
      <c r="Q22" s="218">
        <f>SUMIF($C$3:$C$17,"W",Q3:Q17)</f>
        <v>667418.86</v>
      </c>
      <c r="R22" s="218">
        <f t="shared" ref="R22:W22" si="10">SUMIF($C$3:$C$17,"W",R3:R17)</f>
        <v>0</v>
      </c>
      <c r="S22" s="218">
        <f t="shared" si="10"/>
        <v>0</v>
      </c>
      <c r="T22" s="218">
        <f t="shared" si="10"/>
        <v>0</v>
      </c>
      <c r="U22" s="218">
        <f t="shared" si="10"/>
        <v>0</v>
      </c>
      <c r="V22" s="218">
        <f t="shared" si="10"/>
        <v>0</v>
      </c>
      <c r="W22" s="319">
        <f t="shared" si="10"/>
        <v>0</v>
      </c>
      <c r="X22" s="320" t="b">
        <f>K22=SUM(O22:W22)</f>
        <v>1</v>
      </c>
      <c r="Y22" s="322">
        <f>ROUND(K22/J22,4)</f>
        <v>0.5</v>
      </c>
      <c r="Z22" s="323" t="s">
        <v>13</v>
      </c>
      <c r="AA22" s="323" t="b">
        <f>J22=K22+L22</f>
        <v>1</v>
      </c>
    </row>
    <row r="23" spans="1:27" x14ac:dyDescent="0.25">
      <c r="A23" s="25"/>
      <c r="B23" s="25"/>
      <c r="C23" s="25"/>
      <c r="D23" s="25"/>
      <c r="E23" s="25"/>
      <c r="F23" s="25"/>
      <c r="G23" s="25"/>
      <c r="H23" s="213"/>
      <c r="I23" s="213"/>
      <c r="J23" s="337"/>
      <c r="K23" s="338"/>
      <c r="L23" s="338"/>
      <c r="M23" s="159"/>
      <c r="N23" s="159"/>
      <c r="O23" s="213"/>
      <c r="P23" s="219"/>
      <c r="Q23" s="219"/>
      <c r="R23" s="213"/>
      <c r="S23" s="213"/>
      <c r="T23" s="213"/>
      <c r="U23" s="213"/>
      <c r="V23" s="213"/>
      <c r="W23" s="213"/>
    </row>
    <row r="24" spans="1:27" x14ac:dyDescent="0.25">
      <c r="A24" s="23" t="s">
        <v>24</v>
      </c>
      <c r="B24" s="220"/>
      <c r="C24" s="220"/>
      <c r="D24" s="220"/>
      <c r="E24" s="220"/>
      <c r="F24" s="220"/>
      <c r="G24" s="220"/>
      <c r="H24" s="147"/>
      <c r="I24" s="147"/>
      <c r="J24" s="6"/>
      <c r="K24" s="380"/>
      <c r="L24" s="339"/>
      <c r="M24" s="159"/>
      <c r="N24" s="159"/>
      <c r="O24" s="147"/>
      <c r="P24" s="221"/>
      <c r="Q24" s="221"/>
      <c r="R24" s="147"/>
      <c r="S24" s="147"/>
      <c r="T24" s="147"/>
      <c r="U24" s="147"/>
      <c r="V24" s="147"/>
      <c r="W24" s="147"/>
      <c r="X24" s="320"/>
      <c r="AA24" s="323"/>
    </row>
    <row r="25" spans="1:27" x14ac:dyDescent="0.25">
      <c r="A25" s="24" t="s">
        <v>25</v>
      </c>
      <c r="B25" s="24"/>
      <c r="C25" s="24"/>
      <c r="D25" s="24"/>
      <c r="E25" s="24"/>
      <c r="F25" s="24"/>
      <c r="G25" s="24"/>
      <c r="H25" s="8"/>
      <c r="I25" s="8"/>
      <c r="J25" s="382"/>
      <c r="K25" s="381"/>
      <c r="L25" s="327"/>
      <c r="O25" s="27"/>
      <c r="P25" s="27"/>
      <c r="Q25" s="27"/>
      <c r="R25" s="8"/>
      <c r="S25" s="8"/>
      <c r="T25" s="8"/>
      <c r="U25" s="8"/>
      <c r="V25" s="8"/>
      <c r="W25" s="8"/>
      <c r="X25" s="320"/>
    </row>
    <row r="26" spans="1:27" x14ac:dyDescent="0.25">
      <c r="A26" s="23" t="s">
        <v>42</v>
      </c>
      <c r="B26" s="25"/>
      <c r="C26" s="25"/>
      <c r="D26" s="25"/>
      <c r="E26" s="25"/>
      <c r="F26" s="25"/>
      <c r="G26" s="25"/>
      <c r="J26" s="340"/>
      <c r="P26" s="118"/>
    </row>
    <row r="27" spans="1:27" x14ac:dyDescent="0.25">
      <c r="A27" s="26" t="s">
        <v>326</v>
      </c>
      <c r="B27" s="26"/>
      <c r="C27" s="26"/>
      <c r="D27" s="26"/>
      <c r="E27" s="26"/>
      <c r="F27" s="26"/>
      <c r="G27" s="26"/>
      <c r="J27" s="340"/>
    </row>
    <row r="35" spans="13:14" x14ac:dyDescent="0.25">
      <c r="M35" s="35"/>
      <c r="N35" s="35"/>
    </row>
  </sheetData>
  <mergeCells count="18">
    <mergeCell ref="A22:G22"/>
    <mergeCell ref="A21:G21"/>
    <mergeCell ref="E1:E2"/>
    <mergeCell ref="A19:G19"/>
    <mergeCell ref="A1:A2"/>
    <mergeCell ref="B1:B2"/>
    <mergeCell ref="C1:C2"/>
    <mergeCell ref="F1:F2"/>
    <mergeCell ref="G1:G2"/>
    <mergeCell ref="A20:G20"/>
    <mergeCell ref="D1:D2"/>
    <mergeCell ref="H1:H2"/>
    <mergeCell ref="I1:I2"/>
    <mergeCell ref="J1:J2"/>
    <mergeCell ref="K1:K2"/>
    <mergeCell ref="N1:W1"/>
    <mergeCell ref="L1:L2"/>
    <mergeCell ref="M1:M2"/>
  </mergeCells>
  <conditionalFormatting sqref="AA24">
    <cfRule type="cellIs" dxfId="59" priority="28" operator="equal">
      <formula>FALSE</formula>
    </cfRule>
  </conditionalFormatting>
  <conditionalFormatting sqref="AA24">
    <cfRule type="cellIs" dxfId="58" priority="27" operator="equal">
      <formula>FALSE</formula>
    </cfRule>
  </conditionalFormatting>
  <conditionalFormatting sqref="Y22:Z22">
    <cfRule type="cellIs" dxfId="57" priority="10" operator="equal">
      <formula>FALSE</formula>
    </cfRule>
  </conditionalFormatting>
  <conditionalFormatting sqref="X22">
    <cfRule type="cellIs" dxfId="56" priority="9" operator="equal">
      <formula>FALSE</formula>
    </cfRule>
  </conditionalFormatting>
  <conditionalFormatting sqref="AA22">
    <cfRule type="cellIs" dxfId="55" priority="6" operator="equal">
      <formula>FALSE</formula>
    </cfRule>
  </conditionalFormatting>
  <conditionalFormatting sqref="Y21:Z21">
    <cfRule type="cellIs" dxfId="54" priority="5" operator="equal">
      <formula>FALSE</formula>
    </cfRule>
  </conditionalFormatting>
  <conditionalFormatting sqref="X3:AA20">
    <cfRule type="cellIs" dxfId="53" priority="12" operator="equal">
      <formula>FALSE</formula>
    </cfRule>
  </conditionalFormatting>
  <conditionalFormatting sqref="X3:Z20">
    <cfRule type="containsText" dxfId="52" priority="11" operator="containsText" text="fałsz">
      <formula>NOT(ISERROR(SEARCH("fałsz",X3)))</formula>
    </cfRule>
  </conditionalFormatting>
  <conditionalFormatting sqref="X22:Z22">
    <cfRule type="containsText" dxfId="51" priority="8" operator="containsText" text="fałsz">
      <formula>NOT(ISERROR(SEARCH("fałsz",X22)))</formula>
    </cfRule>
  </conditionalFormatting>
  <conditionalFormatting sqref="AA22">
    <cfRule type="cellIs" dxfId="50" priority="7" operator="equal">
      <formula>FALSE</formula>
    </cfRule>
  </conditionalFormatting>
  <conditionalFormatting sqref="X21">
    <cfRule type="cellIs" dxfId="49" priority="4" operator="equal">
      <formula>FALSE</formula>
    </cfRule>
  </conditionalFormatting>
  <conditionalFormatting sqref="X21:Z21">
    <cfRule type="containsText" dxfId="48" priority="3" operator="containsText" text="fałsz">
      <formula>NOT(ISERROR(SEARCH("fałsz",X21)))</formula>
    </cfRule>
  </conditionalFormatting>
  <conditionalFormatting sqref="AA21">
    <cfRule type="cellIs" dxfId="47" priority="2" operator="equal">
      <formula>FALSE</formula>
    </cfRule>
  </conditionalFormatting>
  <conditionalFormatting sqref="AA21">
    <cfRule type="cellIs" dxfId="46" priority="1" operator="equal">
      <formula>FALSE</formula>
    </cfRule>
  </conditionalFormatting>
  <dataValidations count="2">
    <dataValidation type="list" allowBlank="1" showInputMessage="1" showErrorMessage="1" sqref="G3:G17">
      <formula1>"B,P,R"</formula1>
    </dataValidation>
    <dataValidation type="list" allowBlank="1" showInputMessage="1" showErrorMessage="1" sqref="C3:C11 D15 C13:C17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51" fitToHeight="0" orientation="landscape" r:id="rId1"/>
  <headerFooter>
    <oddHeader>&amp;LWojewództwo &amp;KFF0000Opolskie &amp;K01+000-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71"/>
  <sheetViews>
    <sheetView showGridLines="0" view="pageBreakPreview" zoomScaleNormal="100" zoomScaleSheetLayoutView="100" workbookViewId="0">
      <pane ySplit="2" topLeftCell="A47" activePane="bottomLeft" state="frozen"/>
      <selection pane="bottomLeft" activeCell="J8" sqref="J8:M57"/>
    </sheetView>
  </sheetViews>
  <sheetFormatPr defaultColWidth="9.140625" defaultRowHeight="15" x14ac:dyDescent="0.25"/>
  <cols>
    <col min="1" max="1" width="4.85546875" style="3" customWidth="1"/>
    <col min="2" max="2" width="17.7109375" style="3" customWidth="1"/>
    <col min="3" max="3" width="12.140625" style="3" customWidth="1"/>
    <col min="4" max="4" width="21.7109375" style="3" customWidth="1"/>
    <col min="5" max="5" width="9.5703125" style="3" bestFit="1" customWidth="1"/>
    <col min="6" max="6" width="17.7109375" style="3" bestFit="1" customWidth="1"/>
    <col min="7" max="7" width="28" style="3" bestFit="1" customWidth="1"/>
    <col min="8" max="8" width="12.42578125" style="3" bestFit="1" customWidth="1"/>
    <col min="9" max="9" width="14.85546875" style="3" customWidth="1"/>
    <col min="10" max="10" width="19.7109375" style="3" bestFit="1" customWidth="1"/>
    <col min="11" max="11" width="20.42578125" style="4" customWidth="1"/>
    <col min="12" max="13" width="17.7109375" style="3" customWidth="1"/>
    <col min="14" max="14" width="15.7109375" style="1" customWidth="1"/>
    <col min="15" max="15" width="17.7109375" style="1" customWidth="1"/>
    <col min="16" max="17" width="17.7109375" style="3" customWidth="1"/>
    <col min="18" max="18" width="12.7109375" style="3" customWidth="1"/>
    <col min="19" max="19" width="13.28515625" style="3" customWidth="1"/>
    <col min="20" max="20" width="11.7109375" style="3" customWidth="1"/>
    <col min="21" max="21" width="9.5703125" style="3" customWidth="1"/>
    <col min="22" max="22" width="10.85546875" style="3" customWidth="1"/>
    <col min="23" max="23" width="11.140625" style="3" customWidth="1"/>
    <col min="24" max="24" width="11.7109375" style="3" customWidth="1"/>
    <col min="25" max="27" width="15.7109375" style="232" customWidth="1"/>
    <col min="28" max="28" width="15.7109375" style="117" customWidth="1"/>
    <col min="29" max="29" width="11.42578125" style="3" bestFit="1" customWidth="1"/>
    <col min="30" max="16384" width="9.140625" style="3"/>
  </cols>
  <sheetData>
    <row r="1" spans="1:249" ht="20.100000000000001" customHeight="1" x14ac:dyDescent="0.25">
      <c r="A1" s="415" t="s">
        <v>4</v>
      </c>
      <c r="B1" s="411" t="s">
        <v>5</v>
      </c>
      <c r="C1" s="420" t="s">
        <v>43</v>
      </c>
      <c r="D1" s="416" t="s">
        <v>6</v>
      </c>
      <c r="E1" s="132"/>
      <c r="F1" s="132"/>
      <c r="G1" s="411" t="s">
        <v>7</v>
      </c>
      <c r="H1" s="416" t="s">
        <v>26</v>
      </c>
      <c r="I1" s="411" t="s">
        <v>268</v>
      </c>
      <c r="J1" s="411" t="s">
        <v>23</v>
      </c>
      <c r="K1" s="422" t="s">
        <v>8</v>
      </c>
      <c r="L1" s="411" t="s">
        <v>16</v>
      </c>
      <c r="M1" s="416" t="s">
        <v>12</v>
      </c>
      <c r="N1" s="411" t="s">
        <v>10</v>
      </c>
      <c r="O1" s="413" t="s">
        <v>11</v>
      </c>
      <c r="P1" s="414"/>
      <c r="Q1" s="414"/>
      <c r="R1" s="414"/>
      <c r="S1" s="414"/>
      <c r="T1" s="414"/>
      <c r="U1" s="414"/>
      <c r="V1" s="414"/>
      <c r="W1" s="414"/>
      <c r="X1" s="415"/>
    </row>
    <row r="2" spans="1:249" ht="39" customHeight="1" x14ac:dyDescent="0.25">
      <c r="A2" s="415"/>
      <c r="B2" s="411"/>
      <c r="C2" s="421"/>
      <c r="D2" s="417"/>
      <c r="E2" s="133" t="s">
        <v>31</v>
      </c>
      <c r="F2" s="133" t="s">
        <v>14</v>
      </c>
      <c r="G2" s="411"/>
      <c r="H2" s="417"/>
      <c r="I2" s="411"/>
      <c r="J2" s="411"/>
      <c r="K2" s="422"/>
      <c r="L2" s="411"/>
      <c r="M2" s="417"/>
      <c r="N2" s="411"/>
      <c r="O2" s="138">
        <v>2019</v>
      </c>
      <c r="P2" s="134">
        <v>2020</v>
      </c>
      <c r="Q2" s="134">
        <v>2021</v>
      </c>
      <c r="R2" s="134">
        <v>2022</v>
      </c>
      <c r="S2" s="134">
        <v>2023</v>
      </c>
      <c r="T2" s="134">
        <v>2024</v>
      </c>
      <c r="U2" s="134">
        <v>2025</v>
      </c>
      <c r="V2" s="134">
        <v>2026</v>
      </c>
      <c r="W2" s="250">
        <v>2027</v>
      </c>
      <c r="X2" s="250">
        <v>2028</v>
      </c>
      <c r="Y2" s="296" t="s">
        <v>27</v>
      </c>
      <c r="Z2" s="296" t="s">
        <v>28</v>
      </c>
      <c r="AA2" s="296" t="s">
        <v>29</v>
      </c>
      <c r="AB2" s="293" t="s">
        <v>30</v>
      </c>
    </row>
    <row r="3" spans="1:249" s="284" customFormat="1" ht="71.25" customHeight="1" x14ac:dyDescent="0.25">
      <c r="A3" s="299">
        <v>1</v>
      </c>
      <c r="B3" s="128" t="s">
        <v>322</v>
      </c>
      <c r="C3" s="156" t="s">
        <v>47</v>
      </c>
      <c r="D3" s="174" t="s">
        <v>50</v>
      </c>
      <c r="E3" s="174" t="s">
        <v>320</v>
      </c>
      <c r="F3" s="300" t="s">
        <v>45</v>
      </c>
      <c r="G3" s="128" t="s">
        <v>321</v>
      </c>
      <c r="H3" s="128" t="s">
        <v>270</v>
      </c>
      <c r="I3" s="301">
        <v>2.5659999999999998</v>
      </c>
      <c r="J3" s="200" t="s">
        <v>323</v>
      </c>
      <c r="K3" s="302">
        <v>24554417.66</v>
      </c>
      <c r="L3" s="303">
        <v>16503831.949999999</v>
      </c>
      <c r="M3" s="304">
        <f t="shared" ref="M3:M8" si="0">K3-L3</f>
        <v>8050585.7100000009</v>
      </c>
      <c r="N3" s="305">
        <v>0.7</v>
      </c>
      <c r="O3" s="187">
        <v>5851981.6699999999</v>
      </c>
      <c r="P3" s="187">
        <v>10651850.279999999</v>
      </c>
      <c r="Q3" s="187">
        <v>0</v>
      </c>
      <c r="R3" s="187">
        <v>0</v>
      </c>
      <c r="S3" s="187">
        <v>0</v>
      </c>
      <c r="T3" s="187">
        <v>0</v>
      </c>
      <c r="U3" s="187">
        <v>0</v>
      </c>
      <c r="V3" s="187">
        <v>0</v>
      </c>
      <c r="W3" s="187">
        <v>0</v>
      </c>
      <c r="X3" s="187">
        <v>0</v>
      </c>
      <c r="Y3" s="296" t="b">
        <f t="shared" ref="Y3" si="1">L3=SUM(P3:X3)</f>
        <v>0</v>
      </c>
      <c r="Z3" s="297">
        <f t="shared" ref="Z3" si="2">ROUND(L3/K3,4)</f>
        <v>0.67210000000000003</v>
      </c>
      <c r="AA3" s="298" t="b">
        <f t="shared" ref="AA3" si="3">Z3=N3</f>
        <v>0</v>
      </c>
      <c r="AB3" s="298" t="b">
        <f t="shared" ref="AB3" si="4">K3=L3+M3</f>
        <v>1</v>
      </c>
    </row>
    <row r="4" spans="1:249" s="309" customFormat="1" ht="44.25" customHeight="1" x14ac:dyDescent="0.25">
      <c r="A4" s="306">
        <v>2</v>
      </c>
      <c r="B4" s="307" t="s">
        <v>63</v>
      </c>
      <c r="C4" s="156" t="s">
        <v>47</v>
      </c>
      <c r="D4" s="203" t="s">
        <v>65</v>
      </c>
      <c r="E4" s="203">
        <v>1609012</v>
      </c>
      <c r="F4" s="203" t="s">
        <v>55</v>
      </c>
      <c r="G4" s="203" t="s">
        <v>85</v>
      </c>
      <c r="H4" s="128" t="s">
        <v>46</v>
      </c>
      <c r="I4" s="202">
        <v>0.35</v>
      </c>
      <c r="J4" s="308" t="s">
        <v>62</v>
      </c>
      <c r="K4" s="302">
        <v>689582.9</v>
      </c>
      <c r="L4" s="303">
        <f>ROUND(K4*N4,2)</f>
        <v>482708.03</v>
      </c>
      <c r="M4" s="302">
        <f t="shared" si="0"/>
        <v>206874.87</v>
      </c>
      <c r="N4" s="158">
        <v>0.7</v>
      </c>
      <c r="O4" s="187">
        <v>0</v>
      </c>
      <c r="P4" s="227">
        <v>1050</v>
      </c>
      <c r="Q4" s="227">
        <v>481658.03</v>
      </c>
      <c r="R4" s="187">
        <v>0</v>
      </c>
      <c r="S4" s="187">
        <v>0</v>
      </c>
      <c r="T4" s="187">
        <v>0</v>
      </c>
      <c r="U4" s="187">
        <v>0</v>
      </c>
      <c r="V4" s="187">
        <v>0</v>
      </c>
      <c r="W4" s="187">
        <v>0</v>
      </c>
      <c r="X4" s="187">
        <v>0</v>
      </c>
      <c r="Y4" s="296" t="b">
        <f t="shared" ref="Y4:Y54" si="5">L4=SUM(P4:X4)</f>
        <v>1</v>
      </c>
      <c r="Z4" s="297">
        <f t="shared" ref="Z4:Z58" si="6">ROUND(L4/K4,4)</f>
        <v>0.7</v>
      </c>
      <c r="AA4" s="298" t="b">
        <f t="shared" ref="AA4:AA58" si="7">Z4=N4</f>
        <v>1</v>
      </c>
      <c r="AB4" s="298" t="b">
        <f t="shared" ref="AB4:AB58" si="8">K4=L4+M4</f>
        <v>1</v>
      </c>
    </row>
    <row r="5" spans="1:249" s="309" customFormat="1" ht="44.25" customHeight="1" x14ac:dyDescent="0.25">
      <c r="A5" s="299">
        <v>3</v>
      </c>
      <c r="B5" s="310" t="s">
        <v>64</v>
      </c>
      <c r="C5" s="156" t="s">
        <v>47</v>
      </c>
      <c r="D5" s="224" t="s">
        <v>51</v>
      </c>
      <c r="E5" s="128">
        <v>1601033</v>
      </c>
      <c r="F5" s="128" t="s">
        <v>48</v>
      </c>
      <c r="G5" s="128" t="s">
        <v>86</v>
      </c>
      <c r="H5" s="128" t="s">
        <v>46</v>
      </c>
      <c r="I5" s="202">
        <v>0.65500000000000003</v>
      </c>
      <c r="J5" s="224" t="s">
        <v>87</v>
      </c>
      <c r="K5" s="302">
        <v>1323513.17</v>
      </c>
      <c r="L5" s="303">
        <v>926459.21</v>
      </c>
      <c r="M5" s="302">
        <f t="shared" si="0"/>
        <v>397053.95999999996</v>
      </c>
      <c r="N5" s="158">
        <v>0.7</v>
      </c>
      <c r="O5" s="187">
        <v>0</v>
      </c>
      <c r="P5" s="227">
        <v>303635.86</v>
      </c>
      <c r="Q5" s="227">
        <v>622823.35</v>
      </c>
      <c r="R5" s="187">
        <v>0</v>
      </c>
      <c r="S5" s="187">
        <v>0</v>
      </c>
      <c r="T5" s="187">
        <v>0</v>
      </c>
      <c r="U5" s="187">
        <v>0</v>
      </c>
      <c r="V5" s="187">
        <v>0</v>
      </c>
      <c r="W5" s="187">
        <v>0</v>
      </c>
      <c r="X5" s="187">
        <v>0</v>
      </c>
      <c r="Y5" s="296" t="b">
        <f t="shared" si="5"/>
        <v>1</v>
      </c>
      <c r="Z5" s="297">
        <f t="shared" si="6"/>
        <v>0.7</v>
      </c>
      <c r="AA5" s="298" t="b">
        <f t="shared" si="7"/>
        <v>1</v>
      </c>
      <c r="AB5" s="298" t="b">
        <f t="shared" si="8"/>
        <v>1</v>
      </c>
      <c r="AC5" s="311"/>
    </row>
    <row r="6" spans="1:249" s="116" customFormat="1" ht="44.25" customHeight="1" x14ac:dyDescent="0.25">
      <c r="A6" s="177">
        <v>4</v>
      </c>
      <c r="B6" s="155" t="s">
        <v>111</v>
      </c>
      <c r="C6" s="128" t="s">
        <v>89</v>
      </c>
      <c r="D6" s="157" t="s">
        <v>53</v>
      </c>
      <c r="E6" s="128">
        <v>1601011</v>
      </c>
      <c r="F6" s="128" t="s">
        <v>48</v>
      </c>
      <c r="G6" s="157" t="s">
        <v>203</v>
      </c>
      <c r="H6" s="199" t="s">
        <v>46</v>
      </c>
      <c r="I6" s="178">
        <v>0.48</v>
      </c>
      <c r="J6" s="374" t="s">
        <v>269</v>
      </c>
      <c r="K6" s="375">
        <v>5770632.9000000004</v>
      </c>
      <c r="L6" s="187">
        <f>ROUND(K6*N6,2)</f>
        <v>4039443.03</v>
      </c>
      <c r="M6" s="205">
        <f t="shared" si="0"/>
        <v>1731189.8700000006</v>
      </c>
      <c r="N6" s="158">
        <v>0.7</v>
      </c>
      <c r="O6" s="187">
        <v>0</v>
      </c>
      <c r="P6" s="187">
        <v>0</v>
      </c>
      <c r="Q6" s="227">
        <f>ROUND(N6*1501949.12,2)</f>
        <v>1051364.3799999999</v>
      </c>
      <c r="R6" s="227">
        <f>ROUND(N6*4268683.78,2)</f>
        <v>2988078.65</v>
      </c>
      <c r="S6" s="186">
        <v>0</v>
      </c>
      <c r="T6" s="186">
        <v>0</v>
      </c>
      <c r="U6" s="186">
        <v>0</v>
      </c>
      <c r="V6" s="186">
        <v>0</v>
      </c>
      <c r="W6" s="188">
        <v>0</v>
      </c>
      <c r="X6" s="188">
        <v>0</v>
      </c>
      <c r="Y6" s="296" t="b">
        <f t="shared" si="5"/>
        <v>1</v>
      </c>
      <c r="Z6" s="297">
        <f t="shared" si="6"/>
        <v>0.7</v>
      </c>
      <c r="AA6" s="298" t="b">
        <f t="shared" si="7"/>
        <v>1</v>
      </c>
      <c r="AB6" s="298" t="b">
        <f t="shared" si="8"/>
        <v>1</v>
      </c>
      <c r="AC6" s="121"/>
    </row>
    <row r="7" spans="1:249" s="116" customFormat="1" ht="44.25" customHeight="1" x14ac:dyDescent="0.25">
      <c r="A7" s="261">
        <v>5</v>
      </c>
      <c r="B7" s="148" t="s">
        <v>112</v>
      </c>
      <c r="C7" s="143" t="s">
        <v>52</v>
      </c>
      <c r="D7" s="150" t="s">
        <v>107</v>
      </c>
      <c r="E7" s="139">
        <v>1609074</v>
      </c>
      <c r="F7" s="139" t="s">
        <v>55</v>
      </c>
      <c r="G7" s="150" t="s">
        <v>204</v>
      </c>
      <c r="H7" s="139" t="s">
        <v>270</v>
      </c>
      <c r="I7" s="179">
        <v>1.139</v>
      </c>
      <c r="J7" s="154" t="s">
        <v>337</v>
      </c>
      <c r="K7" s="189">
        <v>3680875.24</v>
      </c>
      <c r="L7" s="167">
        <f t="shared" ref="L7:L28" si="9">ROUND(K7*N7,2)</f>
        <v>2208525.14</v>
      </c>
      <c r="M7" s="376">
        <f t="shared" si="0"/>
        <v>1472350.1</v>
      </c>
      <c r="N7" s="131">
        <v>0.6</v>
      </c>
      <c r="O7" s="186">
        <v>0</v>
      </c>
      <c r="P7" s="188">
        <v>0</v>
      </c>
      <c r="Q7" s="180">
        <f>L7</f>
        <v>2208525.14</v>
      </c>
      <c r="R7" s="186">
        <v>0</v>
      </c>
      <c r="S7" s="186">
        <v>0</v>
      </c>
      <c r="T7" s="186">
        <v>0</v>
      </c>
      <c r="U7" s="186">
        <v>0</v>
      </c>
      <c r="V7" s="186">
        <v>0</v>
      </c>
      <c r="W7" s="188">
        <v>0</v>
      </c>
      <c r="X7" s="188">
        <v>0</v>
      </c>
      <c r="Y7" s="296" t="b">
        <f t="shared" si="5"/>
        <v>1</v>
      </c>
      <c r="Z7" s="297">
        <f t="shared" si="6"/>
        <v>0.6</v>
      </c>
      <c r="AA7" s="298" t="b">
        <f t="shared" si="7"/>
        <v>1</v>
      </c>
      <c r="AB7" s="298" t="b">
        <f t="shared" si="8"/>
        <v>1</v>
      </c>
      <c r="AC7" s="365"/>
      <c r="AD7" s="366"/>
      <c r="AE7" s="366"/>
      <c r="AF7" s="366"/>
      <c r="AG7" s="366"/>
      <c r="AH7" s="366"/>
      <c r="AI7" s="366"/>
      <c r="AJ7" s="366"/>
      <c r="AK7" s="366"/>
      <c r="AL7" s="366"/>
      <c r="AM7" s="366"/>
      <c r="AN7" s="366"/>
      <c r="AO7" s="366"/>
      <c r="AP7" s="366"/>
      <c r="AQ7" s="366"/>
      <c r="AR7" s="366"/>
      <c r="AS7" s="366"/>
      <c r="AT7" s="366"/>
      <c r="AU7" s="366"/>
      <c r="AV7" s="366"/>
      <c r="AW7" s="366"/>
      <c r="AX7" s="366"/>
      <c r="AY7" s="366"/>
      <c r="AZ7" s="366"/>
      <c r="BA7" s="366"/>
      <c r="BB7" s="366"/>
      <c r="BC7" s="366"/>
      <c r="BD7" s="366"/>
      <c r="BE7" s="366"/>
      <c r="BF7" s="366"/>
      <c r="BG7" s="366"/>
      <c r="BH7" s="366"/>
      <c r="BI7" s="366"/>
      <c r="BJ7" s="366"/>
      <c r="BK7" s="366"/>
      <c r="BL7" s="366"/>
      <c r="BM7" s="366"/>
      <c r="BN7" s="366"/>
      <c r="BO7" s="366"/>
      <c r="BP7" s="366"/>
      <c r="BQ7" s="366"/>
      <c r="BR7" s="366"/>
      <c r="BS7" s="366"/>
      <c r="BT7" s="366"/>
      <c r="BU7" s="366"/>
      <c r="BV7" s="366"/>
      <c r="BW7" s="366"/>
      <c r="BX7" s="366"/>
      <c r="BY7" s="366"/>
      <c r="BZ7" s="366"/>
      <c r="CA7" s="366"/>
      <c r="CB7" s="366"/>
      <c r="CC7" s="366"/>
      <c r="CD7" s="366"/>
      <c r="CE7" s="366"/>
      <c r="CF7" s="366"/>
      <c r="CG7" s="366"/>
      <c r="CH7" s="366"/>
      <c r="CI7" s="366"/>
      <c r="CJ7" s="366"/>
      <c r="CK7" s="366"/>
      <c r="CL7" s="366"/>
      <c r="CM7" s="366"/>
      <c r="CN7" s="366"/>
      <c r="CO7" s="366"/>
      <c r="CP7" s="366"/>
      <c r="CQ7" s="366"/>
      <c r="CR7" s="366"/>
      <c r="CS7" s="366"/>
      <c r="CT7" s="366"/>
      <c r="CU7" s="366"/>
      <c r="CV7" s="366"/>
      <c r="CW7" s="366"/>
      <c r="CX7" s="366"/>
      <c r="CY7" s="366"/>
      <c r="CZ7" s="366"/>
      <c r="DA7" s="366"/>
      <c r="DB7" s="366"/>
      <c r="DC7" s="366"/>
      <c r="DD7" s="366"/>
      <c r="DE7" s="366"/>
      <c r="DF7" s="366"/>
      <c r="DG7" s="366"/>
      <c r="DH7" s="366"/>
      <c r="DI7" s="366"/>
      <c r="DJ7" s="366"/>
      <c r="DK7" s="366"/>
      <c r="DL7" s="366"/>
      <c r="DM7" s="366"/>
      <c r="DN7" s="366"/>
      <c r="DO7" s="366"/>
      <c r="DP7" s="366"/>
      <c r="DQ7" s="366"/>
      <c r="DR7" s="366"/>
      <c r="DS7" s="366"/>
      <c r="DT7" s="366"/>
      <c r="DU7" s="366"/>
      <c r="DV7" s="366"/>
      <c r="DW7" s="366"/>
      <c r="DX7" s="366"/>
      <c r="DY7" s="366"/>
      <c r="DZ7" s="366"/>
      <c r="EA7" s="366"/>
      <c r="EB7" s="366"/>
      <c r="EC7" s="366"/>
      <c r="ED7" s="366"/>
      <c r="EE7" s="366"/>
      <c r="EF7" s="366"/>
      <c r="EG7" s="366"/>
      <c r="EH7" s="366"/>
      <c r="EI7" s="366"/>
      <c r="EJ7" s="366"/>
      <c r="EK7" s="366"/>
      <c r="EL7" s="366"/>
      <c r="EM7" s="366"/>
      <c r="EN7" s="366"/>
      <c r="EO7" s="366"/>
      <c r="EP7" s="366"/>
      <c r="EQ7" s="366"/>
      <c r="ER7" s="366"/>
      <c r="ES7" s="366"/>
      <c r="ET7" s="366"/>
      <c r="EU7" s="366"/>
      <c r="EV7" s="366"/>
      <c r="EW7" s="366"/>
      <c r="EX7" s="366"/>
      <c r="EY7" s="366"/>
      <c r="EZ7" s="366"/>
      <c r="FA7" s="366"/>
      <c r="FB7" s="366"/>
      <c r="FC7" s="366"/>
      <c r="FD7" s="366"/>
      <c r="FE7" s="366"/>
      <c r="FF7" s="366"/>
      <c r="FG7" s="366"/>
      <c r="FH7" s="366"/>
      <c r="FI7" s="366"/>
      <c r="FJ7" s="366"/>
      <c r="FK7" s="366"/>
      <c r="FL7" s="366"/>
      <c r="FM7" s="366"/>
      <c r="FN7" s="366"/>
      <c r="FO7" s="366"/>
      <c r="FP7" s="366"/>
      <c r="FQ7" s="366"/>
      <c r="FR7" s="366"/>
      <c r="FS7" s="366"/>
      <c r="FT7" s="366"/>
      <c r="FU7" s="366"/>
      <c r="FV7" s="366"/>
      <c r="FW7" s="366"/>
      <c r="FX7" s="366"/>
      <c r="FY7" s="366"/>
      <c r="FZ7" s="366"/>
      <c r="GA7" s="366"/>
      <c r="GB7" s="366"/>
      <c r="GC7" s="366"/>
      <c r="GD7" s="366"/>
      <c r="GE7" s="366"/>
      <c r="GF7" s="366"/>
      <c r="GG7" s="366"/>
      <c r="GH7" s="366"/>
      <c r="GI7" s="366"/>
      <c r="GJ7" s="366"/>
      <c r="GK7" s="366"/>
      <c r="GL7" s="366"/>
      <c r="GM7" s="366"/>
      <c r="GN7" s="366"/>
      <c r="GO7" s="366"/>
      <c r="GP7" s="366"/>
      <c r="GQ7" s="366"/>
      <c r="GR7" s="366"/>
      <c r="GS7" s="366"/>
      <c r="GT7" s="366"/>
      <c r="GU7" s="366"/>
      <c r="GV7" s="366"/>
      <c r="GW7" s="366"/>
      <c r="GX7" s="366"/>
      <c r="GY7" s="366"/>
      <c r="GZ7" s="366"/>
      <c r="HA7" s="366"/>
      <c r="HB7" s="366"/>
      <c r="HC7" s="366"/>
      <c r="HD7" s="366"/>
      <c r="HE7" s="366"/>
      <c r="HF7" s="366"/>
      <c r="HG7" s="366"/>
      <c r="HH7" s="366"/>
      <c r="HI7" s="366"/>
      <c r="HJ7" s="366"/>
      <c r="HK7" s="366"/>
      <c r="HL7" s="366"/>
      <c r="HM7" s="366"/>
      <c r="HN7" s="366"/>
      <c r="HO7" s="366"/>
      <c r="HP7" s="366"/>
      <c r="HQ7" s="366"/>
      <c r="HR7" s="366"/>
      <c r="HS7" s="366"/>
      <c r="HT7" s="366"/>
      <c r="HU7" s="366"/>
      <c r="HV7" s="366"/>
      <c r="HW7" s="366"/>
      <c r="HX7" s="366"/>
      <c r="HY7" s="366"/>
      <c r="HZ7" s="366"/>
      <c r="IA7" s="366"/>
      <c r="IB7" s="366"/>
      <c r="IC7" s="366"/>
      <c r="ID7" s="366"/>
      <c r="IE7" s="366"/>
      <c r="IF7" s="366"/>
      <c r="IG7" s="366"/>
      <c r="IH7" s="366"/>
      <c r="II7" s="366"/>
      <c r="IJ7" s="366"/>
      <c r="IK7" s="366"/>
      <c r="IL7" s="366"/>
      <c r="IM7" s="366"/>
      <c r="IN7" s="366"/>
      <c r="IO7" s="366"/>
    </row>
    <row r="8" spans="1:249" s="116" customFormat="1" ht="44.25" customHeight="1" x14ac:dyDescent="0.25">
      <c r="A8" s="177">
        <v>6</v>
      </c>
      <c r="B8" s="148" t="s">
        <v>113</v>
      </c>
      <c r="C8" s="149" t="s">
        <v>52</v>
      </c>
      <c r="D8" s="150" t="s">
        <v>66</v>
      </c>
      <c r="E8" s="182">
        <v>1604043</v>
      </c>
      <c r="F8" s="182" t="s">
        <v>84</v>
      </c>
      <c r="G8" s="150" t="s">
        <v>205</v>
      </c>
      <c r="H8" s="149" t="s">
        <v>46</v>
      </c>
      <c r="I8" s="183">
        <v>0.9</v>
      </c>
      <c r="J8" s="185" t="s">
        <v>282</v>
      </c>
      <c r="K8" s="189">
        <v>965330.72</v>
      </c>
      <c r="L8" s="167">
        <f>ROUND(K8*N8,2)</f>
        <v>579198.43000000005</v>
      </c>
      <c r="M8" s="376">
        <f t="shared" si="0"/>
        <v>386132.28999999992</v>
      </c>
      <c r="N8" s="259">
        <v>0.6</v>
      </c>
      <c r="O8" s="186">
        <v>0</v>
      </c>
      <c r="P8" s="188">
        <v>0</v>
      </c>
      <c r="Q8" s="180">
        <f>L8</f>
        <v>579198.43000000005</v>
      </c>
      <c r="R8" s="186">
        <v>0</v>
      </c>
      <c r="S8" s="186">
        <v>0</v>
      </c>
      <c r="T8" s="186">
        <v>0</v>
      </c>
      <c r="U8" s="186">
        <v>0</v>
      </c>
      <c r="V8" s="186">
        <v>0</v>
      </c>
      <c r="W8" s="188">
        <v>0</v>
      </c>
      <c r="X8" s="188">
        <v>0</v>
      </c>
      <c r="Y8" s="296" t="b">
        <f t="shared" si="5"/>
        <v>1</v>
      </c>
      <c r="Z8" s="297">
        <f t="shared" si="6"/>
        <v>0.6</v>
      </c>
      <c r="AA8" s="298" t="b">
        <f t="shared" si="7"/>
        <v>1</v>
      </c>
      <c r="AB8" s="298" t="b">
        <f t="shared" si="8"/>
        <v>1</v>
      </c>
      <c r="AC8" s="365"/>
      <c r="AD8" s="366"/>
      <c r="AE8" s="366"/>
      <c r="AF8" s="366"/>
      <c r="AG8" s="366"/>
      <c r="AH8" s="366"/>
      <c r="AI8" s="366"/>
      <c r="AJ8" s="366"/>
      <c r="AK8" s="366"/>
      <c r="AL8" s="366"/>
      <c r="AM8" s="366"/>
      <c r="AN8" s="366"/>
      <c r="AO8" s="366"/>
      <c r="AP8" s="366"/>
      <c r="AQ8" s="366"/>
      <c r="AR8" s="366"/>
      <c r="AS8" s="366"/>
      <c r="AT8" s="366"/>
      <c r="AU8" s="366"/>
      <c r="AV8" s="366"/>
      <c r="AW8" s="366"/>
      <c r="AX8" s="366"/>
      <c r="AY8" s="366"/>
      <c r="AZ8" s="366"/>
      <c r="BA8" s="366"/>
      <c r="BB8" s="366"/>
      <c r="BC8" s="366"/>
      <c r="BD8" s="366"/>
      <c r="BE8" s="366"/>
      <c r="BF8" s="366"/>
      <c r="BG8" s="366"/>
      <c r="BH8" s="366"/>
      <c r="BI8" s="366"/>
      <c r="BJ8" s="366"/>
      <c r="BK8" s="366"/>
      <c r="BL8" s="366"/>
      <c r="BM8" s="366"/>
      <c r="BN8" s="366"/>
      <c r="BO8" s="366"/>
      <c r="BP8" s="366"/>
      <c r="BQ8" s="366"/>
      <c r="BR8" s="366"/>
      <c r="BS8" s="366"/>
      <c r="BT8" s="366"/>
      <c r="BU8" s="366"/>
      <c r="BV8" s="366"/>
      <c r="BW8" s="366"/>
      <c r="BX8" s="366"/>
      <c r="BY8" s="366"/>
      <c r="BZ8" s="366"/>
      <c r="CA8" s="366"/>
      <c r="CB8" s="366"/>
      <c r="CC8" s="366"/>
      <c r="CD8" s="366"/>
      <c r="CE8" s="366"/>
      <c r="CF8" s="366"/>
      <c r="CG8" s="366"/>
      <c r="CH8" s="366"/>
      <c r="CI8" s="366"/>
      <c r="CJ8" s="366"/>
      <c r="CK8" s="366"/>
      <c r="CL8" s="366"/>
      <c r="CM8" s="366"/>
      <c r="CN8" s="366"/>
      <c r="CO8" s="366"/>
      <c r="CP8" s="366"/>
      <c r="CQ8" s="366"/>
      <c r="CR8" s="366"/>
      <c r="CS8" s="366"/>
      <c r="CT8" s="366"/>
      <c r="CU8" s="366"/>
      <c r="CV8" s="366"/>
      <c r="CW8" s="366"/>
      <c r="CX8" s="366"/>
      <c r="CY8" s="366"/>
      <c r="CZ8" s="366"/>
      <c r="DA8" s="366"/>
      <c r="DB8" s="366"/>
      <c r="DC8" s="366"/>
      <c r="DD8" s="366"/>
      <c r="DE8" s="366"/>
      <c r="DF8" s="366"/>
      <c r="DG8" s="366"/>
      <c r="DH8" s="366"/>
      <c r="DI8" s="366"/>
      <c r="DJ8" s="366"/>
      <c r="DK8" s="366"/>
      <c r="DL8" s="366"/>
      <c r="DM8" s="366"/>
      <c r="DN8" s="366"/>
      <c r="DO8" s="366"/>
      <c r="DP8" s="366"/>
      <c r="DQ8" s="366"/>
      <c r="DR8" s="366"/>
      <c r="DS8" s="366"/>
      <c r="DT8" s="366"/>
      <c r="DU8" s="366"/>
      <c r="DV8" s="366"/>
      <c r="DW8" s="366"/>
      <c r="DX8" s="366"/>
      <c r="DY8" s="366"/>
      <c r="DZ8" s="366"/>
      <c r="EA8" s="366"/>
      <c r="EB8" s="366"/>
      <c r="EC8" s="366"/>
      <c r="ED8" s="366"/>
      <c r="EE8" s="366"/>
      <c r="EF8" s="366"/>
      <c r="EG8" s="366"/>
      <c r="EH8" s="366"/>
      <c r="EI8" s="366"/>
      <c r="EJ8" s="366"/>
      <c r="EK8" s="366"/>
      <c r="EL8" s="366"/>
      <c r="EM8" s="366"/>
      <c r="EN8" s="366"/>
      <c r="EO8" s="366"/>
      <c r="EP8" s="366"/>
      <c r="EQ8" s="366"/>
      <c r="ER8" s="366"/>
      <c r="ES8" s="366"/>
      <c r="ET8" s="366"/>
      <c r="EU8" s="366"/>
      <c r="EV8" s="366"/>
      <c r="EW8" s="366"/>
      <c r="EX8" s="366"/>
      <c r="EY8" s="366"/>
      <c r="EZ8" s="366"/>
      <c r="FA8" s="366"/>
      <c r="FB8" s="366"/>
      <c r="FC8" s="366"/>
      <c r="FD8" s="366"/>
      <c r="FE8" s="366"/>
      <c r="FF8" s="366"/>
      <c r="FG8" s="366"/>
      <c r="FH8" s="366"/>
      <c r="FI8" s="366"/>
      <c r="FJ8" s="366"/>
      <c r="FK8" s="366"/>
      <c r="FL8" s="366"/>
      <c r="FM8" s="366"/>
      <c r="FN8" s="366"/>
      <c r="FO8" s="366"/>
      <c r="FP8" s="366"/>
      <c r="FQ8" s="366"/>
      <c r="FR8" s="366"/>
      <c r="FS8" s="366"/>
      <c r="FT8" s="366"/>
      <c r="FU8" s="366"/>
      <c r="FV8" s="366"/>
      <c r="FW8" s="366"/>
      <c r="FX8" s="366"/>
      <c r="FY8" s="366"/>
      <c r="FZ8" s="366"/>
      <c r="GA8" s="366"/>
      <c r="GB8" s="366"/>
      <c r="GC8" s="366"/>
      <c r="GD8" s="366"/>
      <c r="GE8" s="366"/>
      <c r="GF8" s="366"/>
      <c r="GG8" s="366"/>
      <c r="GH8" s="366"/>
      <c r="GI8" s="366"/>
      <c r="GJ8" s="366"/>
      <c r="GK8" s="366"/>
      <c r="GL8" s="366"/>
      <c r="GM8" s="366"/>
      <c r="GN8" s="366"/>
      <c r="GO8" s="366"/>
      <c r="GP8" s="366"/>
      <c r="GQ8" s="366"/>
      <c r="GR8" s="366"/>
      <c r="GS8" s="366"/>
      <c r="GT8" s="366"/>
      <c r="GU8" s="366"/>
      <c r="GV8" s="366"/>
      <c r="GW8" s="366"/>
      <c r="GX8" s="366"/>
      <c r="GY8" s="366"/>
      <c r="GZ8" s="366"/>
      <c r="HA8" s="366"/>
      <c r="HB8" s="366"/>
      <c r="HC8" s="366"/>
      <c r="HD8" s="366"/>
      <c r="HE8" s="366"/>
      <c r="HF8" s="366"/>
      <c r="HG8" s="366"/>
      <c r="HH8" s="366"/>
      <c r="HI8" s="366"/>
      <c r="HJ8" s="366"/>
      <c r="HK8" s="366"/>
      <c r="HL8" s="366"/>
      <c r="HM8" s="366"/>
      <c r="HN8" s="366"/>
      <c r="HO8" s="366"/>
      <c r="HP8" s="366"/>
      <c r="HQ8" s="366"/>
      <c r="HR8" s="366"/>
      <c r="HS8" s="366"/>
      <c r="HT8" s="366"/>
      <c r="HU8" s="366"/>
      <c r="HV8" s="366"/>
      <c r="HW8" s="366"/>
      <c r="HX8" s="366"/>
      <c r="HY8" s="366"/>
      <c r="HZ8" s="366"/>
      <c r="IA8" s="366"/>
      <c r="IB8" s="366"/>
      <c r="IC8" s="366"/>
      <c r="ID8" s="366"/>
      <c r="IE8" s="366"/>
      <c r="IF8" s="366"/>
      <c r="IG8" s="366"/>
      <c r="IH8" s="366"/>
      <c r="II8" s="366"/>
      <c r="IJ8" s="366"/>
      <c r="IK8" s="366"/>
      <c r="IL8" s="366"/>
      <c r="IM8" s="366"/>
      <c r="IN8" s="366"/>
      <c r="IO8" s="366"/>
    </row>
    <row r="9" spans="1:249" s="127" customFormat="1" ht="44.25" customHeight="1" x14ac:dyDescent="0.25">
      <c r="A9" s="261">
        <v>7</v>
      </c>
      <c r="B9" s="148" t="s">
        <v>159</v>
      </c>
      <c r="C9" s="197" t="s">
        <v>52</v>
      </c>
      <c r="D9" s="150" t="s">
        <v>67</v>
      </c>
      <c r="E9" s="182">
        <v>1610044</v>
      </c>
      <c r="F9" s="182" t="s">
        <v>49</v>
      </c>
      <c r="G9" s="150" t="s">
        <v>273</v>
      </c>
      <c r="H9" s="201" t="s">
        <v>46</v>
      </c>
      <c r="I9" s="184">
        <v>0.193</v>
      </c>
      <c r="J9" s="149" t="s">
        <v>274</v>
      </c>
      <c r="K9" s="189">
        <v>650843.56999999995</v>
      </c>
      <c r="L9" s="167">
        <f t="shared" si="9"/>
        <v>520674.86</v>
      </c>
      <c r="M9" s="376">
        <f t="shared" ref="M9:M28" si="10">K9-L9</f>
        <v>130168.70999999996</v>
      </c>
      <c r="N9" s="259">
        <v>0.8</v>
      </c>
      <c r="O9" s="186">
        <v>0</v>
      </c>
      <c r="P9" s="188">
        <v>0</v>
      </c>
      <c r="Q9" s="180">
        <f t="shared" ref="Q9:Q44" si="11">L9</f>
        <v>520674.86</v>
      </c>
      <c r="R9" s="186">
        <v>0</v>
      </c>
      <c r="S9" s="186">
        <v>0</v>
      </c>
      <c r="T9" s="186">
        <v>0</v>
      </c>
      <c r="U9" s="186">
        <v>0</v>
      </c>
      <c r="V9" s="186">
        <v>0</v>
      </c>
      <c r="W9" s="188">
        <v>0</v>
      </c>
      <c r="X9" s="188">
        <v>0</v>
      </c>
      <c r="Y9" s="296" t="b">
        <f t="shared" si="5"/>
        <v>1</v>
      </c>
      <c r="Z9" s="297">
        <f t="shared" si="6"/>
        <v>0.8</v>
      </c>
      <c r="AA9" s="298" t="b">
        <f t="shared" si="7"/>
        <v>1</v>
      </c>
      <c r="AB9" s="298" t="b">
        <f t="shared" si="8"/>
        <v>1</v>
      </c>
      <c r="AC9" s="367"/>
      <c r="AD9" s="368"/>
      <c r="AE9" s="368"/>
      <c r="AF9" s="368"/>
      <c r="AG9" s="368"/>
      <c r="AH9" s="368"/>
      <c r="AI9" s="368"/>
      <c r="AJ9" s="368"/>
      <c r="AK9" s="368"/>
      <c r="AL9" s="368"/>
      <c r="AM9" s="368"/>
      <c r="AN9" s="368"/>
      <c r="AO9" s="368"/>
      <c r="AP9" s="368"/>
      <c r="AQ9" s="368"/>
      <c r="AR9" s="368"/>
      <c r="AS9" s="368"/>
      <c r="AT9" s="368"/>
      <c r="AU9" s="368"/>
      <c r="AV9" s="368"/>
      <c r="AW9" s="368"/>
      <c r="AX9" s="368"/>
      <c r="AY9" s="368"/>
      <c r="AZ9" s="368"/>
      <c r="BA9" s="368"/>
      <c r="BB9" s="368"/>
      <c r="BC9" s="368"/>
      <c r="BD9" s="368"/>
      <c r="BE9" s="368"/>
      <c r="BF9" s="368"/>
      <c r="BG9" s="368"/>
      <c r="BH9" s="368"/>
      <c r="BI9" s="368"/>
      <c r="BJ9" s="368"/>
      <c r="BK9" s="368"/>
      <c r="BL9" s="368"/>
      <c r="BM9" s="368"/>
      <c r="BN9" s="368"/>
      <c r="BO9" s="368"/>
      <c r="BP9" s="368"/>
      <c r="BQ9" s="368"/>
      <c r="BR9" s="368"/>
      <c r="BS9" s="368"/>
      <c r="BT9" s="368"/>
      <c r="BU9" s="368"/>
      <c r="BV9" s="368"/>
      <c r="BW9" s="368"/>
      <c r="BX9" s="368"/>
      <c r="BY9" s="368"/>
      <c r="BZ9" s="368"/>
      <c r="CA9" s="368"/>
      <c r="CB9" s="368"/>
      <c r="CC9" s="368"/>
      <c r="CD9" s="368"/>
      <c r="CE9" s="368"/>
      <c r="CF9" s="368"/>
      <c r="CG9" s="368"/>
      <c r="CH9" s="368"/>
      <c r="CI9" s="368"/>
      <c r="CJ9" s="368"/>
      <c r="CK9" s="368"/>
      <c r="CL9" s="368"/>
      <c r="CM9" s="368"/>
      <c r="CN9" s="368"/>
      <c r="CO9" s="368"/>
      <c r="CP9" s="368"/>
      <c r="CQ9" s="368"/>
      <c r="CR9" s="368"/>
      <c r="CS9" s="368"/>
      <c r="CT9" s="368"/>
      <c r="CU9" s="368"/>
      <c r="CV9" s="368"/>
      <c r="CW9" s="368"/>
      <c r="CX9" s="368"/>
      <c r="CY9" s="368"/>
      <c r="CZ9" s="368"/>
      <c r="DA9" s="368"/>
      <c r="DB9" s="368"/>
      <c r="DC9" s="368"/>
      <c r="DD9" s="368"/>
      <c r="DE9" s="368"/>
      <c r="DF9" s="368"/>
      <c r="DG9" s="368"/>
      <c r="DH9" s="368"/>
      <c r="DI9" s="368"/>
      <c r="DJ9" s="368"/>
      <c r="DK9" s="368"/>
      <c r="DL9" s="368"/>
      <c r="DM9" s="368"/>
      <c r="DN9" s="368"/>
      <c r="DO9" s="368"/>
      <c r="DP9" s="368"/>
      <c r="DQ9" s="368"/>
      <c r="DR9" s="368"/>
      <c r="DS9" s="368"/>
      <c r="DT9" s="368"/>
      <c r="DU9" s="368"/>
      <c r="DV9" s="368"/>
      <c r="DW9" s="368"/>
      <c r="DX9" s="368"/>
      <c r="DY9" s="368"/>
      <c r="DZ9" s="368"/>
      <c r="EA9" s="368"/>
      <c r="EB9" s="368"/>
      <c r="EC9" s="368"/>
      <c r="ED9" s="368"/>
      <c r="EE9" s="368"/>
      <c r="EF9" s="368"/>
      <c r="EG9" s="368"/>
      <c r="EH9" s="368"/>
      <c r="EI9" s="368"/>
      <c r="EJ9" s="368"/>
      <c r="EK9" s="368"/>
      <c r="EL9" s="368"/>
      <c r="EM9" s="368"/>
      <c r="EN9" s="368"/>
      <c r="EO9" s="368"/>
      <c r="EP9" s="368"/>
      <c r="EQ9" s="368"/>
      <c r="ER9" s="368"/>
      <c r="ES9" s="368"/>
      <c r="ET9" s="368"/>
      <c r="EU9" s="368"/>
      <c r="EV9" s="368"/>
      <c r="EW9" s="368"/>
      <c r="EX9" s="368"/>
      <c r="EY9" s="368"/>
      <c r="EZ9" s="368"/>
      <c r="FA9" s="368"/>
      <c r="FB9" s="368"/>
      <c r="FC9" s="368"/>
      <c r="FD9" s="368"/>
      <c r="FE9" s="368"/>
      <c r="FF9" s="368"/>
      <c r="FG9" s="368"/>
      <c r="FH9" s="368"/>
      <c r="FI9" s="368"/>
      <c r="FJ9" s="368"/>
      <c r="FK9" s="368"/>
      <c r="FL9" s="368"/>
      <c r="FM9" s="368"/>
      <c r="FN9" s="368"/>
      <c r="FO9" s="368"/>
      <c r="FP9" s="368"/>
      <c r="FQ9" s="368"/>
      <c r="FR9" s="368"/>
      <c r="FS9" s="368"/>
      <c r="FT9" s="368"/>
      <c r="FU9" s="368"/>
      <c r="FV9" s="368"/>
      <c r="FW9" s="368"/>
      <c r="FX9" s="368"/>
      <c r="FY9" s="368"/>
      <c r="FZ9" s="368"/>
      <c r="GA9" s="368"/>
      <c r="GB9" s="368"/>
      <c r="GC9" s="368"/>
      <c r="GD9" s="368"/>
      <c r="GE9" s="368"/>
      <c r="GF9" s="368"/>
      <c r="GG9" s="368"/>
      <c r="GH9" s="368"/>
      <c r="GI9" s="368"/>
      <c r="GJ9" s="368"/>
      <c r="GK9" s="368"/>
      <c r="GL9" s="368"/>
      <c r="GM9" s="368"/>
      <c r="GN9" s="368"/>
      <c r="GO9" s="368"/>
      <c r="GP9" s="368"/>
      <c r="GQ9" s="368"/>
      <c r="GR9" s="368"/>
      <c r="GS9" s="368"/>
      <c r="GT9" s="368"/>
      <c r="GU9" s="368"/>
      <c r="GV9" s="368"/>
      <c r="GW9" s="368"/>
      <c r="GX9" s="368"/>
      <c r="GY9" s="368"/>
      <c r="GZ9" s="368"/>
      <c r="HA9" s="368"/>
      <c r="HB9" s="368"/>
      <c r="HC9" s="368"/>
      <c r="HD9" s="368"/>
      <c r="HE9" s="368"/>
      <c r="HF9" s="368"/>
      <c r="HG9" s="368"/>
      <c r="HH9" s="368"/>
      <c r="HI9" s="368"/>
      <c r="HJ9" s="368"/>
      <c r="HK9" s="368"/>
      <c r="HL9" s="368"/>
      <c r="HM9" s="368"/>
      <c r="HN9" s="368"/>
      <c r="HO9" s="368"/>
      <c r="HP9" s="368"/>
      <c r="HQ9" s="368"/>
      <c r="HR9" s="368"/>
      <c r="HS9" s="368"/>
      <c r="HT9" s="368"/>
      <c r="HU9" s="368"/>
      <c r="HV9" s="368"/>
      <c r="HW9" s="368"/>
      <c r="HX9" s="368"/>
      <c r="HY9" s="368"/>
      <c r="HZ9" s="368"/>
      <c r="IA9" s="368"/>
      <c r="IB9" s="368"/>
      <c r="IC9" s="368"/>
      <c r="ID9" s="368"/>
      <c r="IE9" s="368"/>
      <c r="IF9" s="368"/>
      <c r="IG9" s="368"/>
      <c r="IH9" s="368"/>
      <c r="II9" s="368"/>
      <c r="IJ9" s="368"/>
      <c r="IK9" s="368"/>
      <c r="IL9" s="368"/>
      <c r="IM9" s="368"/>
      <c r="IN9" s="368"/>
      <c r="IO9" s="368"/>
    </row>
    <row r="10" spans="1:249" s="32" customFormat="1" ht="35.25" customHeight="1" x14ac:dyDescent="0.25">
      <c r="A10" s="177">
        <v>8</v>
      </c>
      <c r="B10" s="148" t="s">
        <v>116</v>
      </c>
      <c r="C10" s="153" t="s">
        <v>52</v>
      </c>
      <c r="D10" s="150" t="s">
        <v>108</v>
      </c>
      <c r="E10" s="149">
        <v>1609022</v>
      </c>
      <c r="F10" s="149" t="s">
        <v>55</v>
      </c>
      <c r="G10" s="150" t="s">
        <v>206</v>
      </c>
      <c r="H10" s="149" t="s">
        <v>46</v>
      </c>
      <c r="I10" s="183">
        <v>0.52</v>
      </c>
      <c r="J10" s="185" t="s">
        <v>285</v>
      </c>
      <c r="K10" s="190">
        <v>884159.66</v>
      </c>
      <c r="L10" s="167">
        <f t="shared" si="9"/>
        <v>530495.80000000005</v>
      </c>
      <c r="M10" s="167">
        <f t="shared" si="10"/>
        <v>353663.86</v>
      </c>
      <c r="N10" s="131">
        <v>0.6</v>
      </c>
      <c r="O10" s="186">
        <v>0</v>
      </c>
      <c r="P10" s="188">
        <v>0</v>
      </c>
      <c r="Q10" s="186">
        <f>L10</f>
        <v>530495.80000000005</v>
      </c>
      <c r="R10" s="186">
        <v>0</v>
      </c>
      <c r="S10" s="186">
        <v>0</v>
      </c>
      <c r="T10" s="186">
        <v>0</v>
      </c>
      <c r="U10" s="186">
        <v>0</v>
      </c>
      <c r="V10" s="186">
        <v>0</v>
      </c>
      <c r="W10" s="188">
        <v>0</v>
      </c>
      <c r="X10" s="188">
        <v>0</v>
      </c>
      <c r="Y10" s="296" t="b">
        <f t="shared" si="5"/>
        <v>1</v>
      </c>
      <c r="Z10" s="297">
        <f t="shared" si="6"/>
        <v>0.6</v>
      </c>
      <c r="AA10" s="298" t="b">
        <f t="shared" si="7"/>
        <v>1</v>
      </c>
      <c r="AB10" s="298" t="b">
        <f t="shared" si="8"/>
        <v>1</v>
      </c>
    </row>
    <row r="11" spans="1:249" s="115" customFormat="1" ht="35.25" customHeight="1" x14ac:dyDescent="0.25">
      <c r="A11" s="261">
        <v>9</v>
      </c>
      <c r="B11" s="148" t="s">
        <v>114</v>
      </c>
      <c r="C11" s="153" t="s">
        <v>52</v>
      </c>
      <c r="D11" s="150" t="s">
        <v>51</v>
      </c>
      <c r="E11" s="149">
        <v>1601033</v>
      </c>
      <c r="F11" s="149" t="s">
        <v>48</v>
      </c>
      <c r="G11" s="150" t="s">
        <v>207</v>
      </c>
      <c r="H11" s="149" t="s">
        <v>270</v>
      </c>
      <c r="I11" s="183">
        <v>0.49099999999999999</v>
      </c>
      <c r="J11" s="185" t="s">
        <v>284</v>
      </c>
      <c r="K11" s="189">
        <v>799005.31</v>
      </c>
      <c r="L11" s="167">
        <f t="shared" si="9"/>
        <v>479403.19</v>
      </c>
      <c r="M11" s="376">
        <f t="shared" si="10"/>
        <v>319602.12000000005</v>
      </c>
      <c r="N11" s="131">
        <v>0.6</v>
      </c>
      <c r="O11" s="186">
        <v>0</v>
      </c>
      <c r="P11" s="188">
        <v>0</v>
      </c>
      <c r="Q11" s="180">
        <f t="shared" si="11"/>
        <v>479403.19</v>
      </c>
      <c r="R11" s="186">
        <v>0</v>
      </c>
      <c r="S11" s="186">
        <v>0</v>
      </c>
      <c r="T11" s="186">
        <v>0</v>
      </c>
      <c r="U11" s="186">
        <v>0</v>
      </c>
      <c r="V11" s="186">
        <v>0</v>
      </c>
      <c r="W11" s="188">
        <v>0</v>
      </c>
      <c r="X11" s="188">
        <v>0</v>
      </c>
      <c r="Y11" s="296" t="b">
        <f t="shared" si="5"/>
        <v>1</v>
      </c>
      <c r="Z11" s="297">
        <f t="shared" si="6"/>
        <v>0.6</v>
      </c>
      <c r="AA11" s="298" t="b">
        <f t="shared" si="7"/>
        <v>1</v>
      </c>
      <c r="AB11" s="298" t="b">
        <f t="shared" si="8"/>
        <v>1</v>
      </c>
    </row>
    <row r="12" spans="1:249" s="32" customFormat="1" ht="35.25" customHeight="1" x14ac:dyDescent="0.25">
      <c r="A12" s="306">
        <v>10</v>
      </c>
      <c r="B12" s="155" t="s">
        <v>115</v>
      </c>
      <c r="C12" s="156" t="s">
        <v>89</v>
      </c>
      <c r="D12" s="157" t="s">
        <v>50</v>
      </c>
      <c r="E12" s="128">
        <v>1607053</v>
      </c>
      <c r="F12" s="128" t="s">
        <v>45</v>
      </c>
      <c r="G12" s="157" t="s">
        <v>208</v>
      </c>
      <c r="H12" s="128" t="s">
        <v>46</v>
      </c>
      <c r="I12" s="202">
        <v>0.25700000000000001</v>
      </c>
      <c r="J12" s="224" t="s">
        <v>276</v>
      </c>
      <c r="K12" s="375">
        <v>4404683.42</v>
      </c>
      <c r="L12" s="187">
        <f t="shared" si="9"/>
        <v>3523746.74</v>
      </c>
      <c r="M12" s="377">
        <f t="shared" si="10"/>
        <v>880936.6799999997</v>
      </c>
      <c r="N12" s="158">
        <v>0.8</v>
      </c>
      <c r="O12" s="187">
        <v>0</v>
      </c>
      <c r="P12" s="205">
        <v>0</v>
      </c>
      <c r="Q12" s="181">
        <f>(N12*2916373.64)</f>
        <v>2333098.912</v>
      </c>
      <c r="R12" s="181">
        <f>L12-Q12</f>
        <v>1190647.8280000002</v>
      </c>
      <c r="S12" s="186">
        <v>0</v>
      </c>
      <c r="T12" s="186">
        <v>0</v>
      </c>
      <c r="U12" s="186">
        <v>0</v>
      </c>
      <c r="V12" s="186">
        <v>0</v>
      </c>
      <c r="W12" s="188">
        <v>0</v>
      </c>
      <c r="X12" s="188">
        <v>0</v>
      </c>
      <c r="Y12" s="296" t="b">
        <f t="shared" si="5"/>
        <v>1</v>
      </c>
      <c r="Z12" s="297">
        <f t="shared" si="6"/>
        <v>0.8</v>
      </c>
      <c r="AA12" s="298" t="b">
        <f t="shared" si="7"/>
        <v>1</v>
      </c>
      <c r="AB12" s="298" t="b">
        <f t="shared" si="8"/>
        <v>1</v>
      </c>
    </row>
    <row r="13" spans="1:249" s="32" customFormat="1" ht="35.25" customHeight="1" x14ac:dyDescent="0.25">
      <c r="A13" s="261">
        <v>11</v>
      </c>
      <c r="B13" s="148" t="s">
        <v>117</v>
      </c>
      <c r="C13" s="153" t="s">
        <v>52</v>
      </c>
      <c r="D13" s="150" t="s">
        <v>71</v>
      </c>
      <c r="E13" s="149">
        <v>1605013</v>
      </c>
      <c r="F13" s="149" t="s">
        <v>59</v>
      </c>
      <c r="G13" s="150" t="s">
        <v>209</v>
      </c>
      <c r="H13" s="149" t="s">
        <v>46</v>
      </c>
      <c r="I13" s="183">
        <v>0.96699999999999997</v>
      </c>
      <c r="J13" s="185" t="s">
        <v>333</v>
      </c>
      <c r="K13" s="189">
        <v>1792950.9</v>
      </c>
      <c r="L13" s="167">
        <f t="shared" si="9"/>
        <v>896475.45</v>
      </c>
      <c r="M13" s="376">
        <f t="shared" si="10"/>
        <v>896475.45</v>
      </c>
      <c r="N13" s="131">
        <v>0.5</v>
      </c>
      <c r="O13" s="186">
        <v>0</v>
      </c>
      <c r="P13" s="188">
        <v>0</v>
      </c>
      <c r="Q13" s="180">
        <f t="shared" si="11"/>
        <v>896475.45</v>
      </c>
      <c r="R13" s="186">
        <v>0</v>
      </c>
      <c r="S13" s="186">
        <v>0</v>
      </c>
      <c r="T13" s="186">
        <v>0</v>
      </c>
      <c r="U13" s="186">
        <v>0</v>
      </c>
      <c r="V13" s="186">
        <v>0</v>
      </c>
      <c r="W13" s="188">
        <v>0</v>
      </c>
      <c r="X13" s="188">
        <v>0</v>
      </c>
      <c r="Y13" s="296" t="b">
        <f t="shared" si="5"/>
        <v>1</v>
      </c>
      <c r="Z13" s="297">
        <f t="shared" si="6"/>
        <v>0.5</v>
      </c>
      <c r="AA13" s="298" t="b">
        <f t="shared" si="7"/>
        <v>1</v>
      </c>
      <c r="AB13" s="298" t="b">
        <f t="shared" si="8"/>
        <v>1</v>
      </c>
    </row>
    <row r="14" spans="1:249" s="32" customFormat="1" ht="54.75" customHeight="1" x14ac:dyDescent="0.25">
      <c r="A14" s="177">
        <v>12</v>
      </c>
      <c r="B14" s="148" t="s">
        <v>118</v>
      </c>
      <c r="C14" s="153" t="s">
        <v>52</v>
      </c>
      <c r="D14" s="150" t="s">
        <v>109</v>
      </c>
      <c r="E14" s="149">
        <v>1609123</v>
      </c>
      <c r="F14" s="149" t="s">
        <v>55</v>
      </c>
      <c r="G14" s="150" t="s">
        <v>211</v>
      </c>
      <c r="H14" s="149" t="s">
        <v>46</v>
      </c>
      <c r="I14" s="183">
        <v>0.14599999999999999</v>
      </c>
      <c r="J14" s="185" t="s">
        <v>292</v>
      </c>
      <c r="K14" s="189">
        <v>609539.56000000006</v>
      </c>
      <c r="L14" s="167">
        <f>ROUND(K14*N14,2)</f>
        <v>426677.69</v>
      </c>
      <c r="M14" s="376">
        <f>K14-L14</f>
        <v>182861.87000000005</v>
      </c>
      <c r="N14" s="131">
        <v>0.7</v>
      </c>
      <c r="O14" s="186">
        <v>0</v>
      </c>
      <c r="P14" s="188">
        <v>0</v>
      </c>
      <c r="Q14" s="180">
        <f>L14</f>
        <v>426677.69</v>
      </c>
      <c r="R14" s="186">
        <v>0</v>
      </c>
      <c r="S14" s="186">
        <v>0</v>
      </c>
      <c r="T14" s="186">
        <v>0</v>
      </c>
      <c r="U14" s="186">
        <v>0</v>
      </c>
      <c r="V14" s="186">
        <v>0</v>
      </c>
      <c r="W14" s="188">
        <v>0</v>
      </c>
      <c r="X14" s="188">
        <v>0</v>
      </c>
      <c r="Y14" s="296" t="b">
        <f t="shared" si="5"/>
        <v>1</v>
      </c>
      <c r="Z14" s="297">
        <f t="shared" si="6"/>
        <v>0.7</v>
      </c>
      <c r="AA14" s="298" t="b">
        <f t="shared" si="7"/>
        <v>1</v>
      </c>
      <c r="AB14" s="298" t="b">
        <f t="shared" si="8"/>
        <v>1</v>
      </c>
    </row>
    <row r="15" spans="1:249" s="32" customFormat="1" ht="39.75" customHeight="1" x14ac:dyDescent="0.25">
      <c r="A15" s="299">
        <v>13</v>
      </c>
      <c r="B15" s="155" t="s">
        <v>119</v>
      </c>
      <c r="C15" s="156" t="s">
        <v>89</v>
      </c>
      <c r="D15" s="157" t="s">
        <v>76</v>
      </c>
      <c r="E15" s="128">
        <v>1605023</v>
      </c>
      <c r="F15" s="128" t="s">
        <v>288</v>
      </c>
      <c r="G15" s="157" t="s">
        <v>210</v>
      </c>
      <c r="H15" s="128" t="s">
        <v>270</v>
      </c>
      <c r="I15" s="202">
        <v>3.5409999999999999</v>
      </c>
      <c r="J15" s="224" t="s">
        <v>335</v>
      </c>
      <c r="K15" s="375">
        <v>14007408.119999999</v>
      </c>
      <c r="L15" s="187">
        <f t="shared" si="9"/>
        <v>8404444.8699999992</v>
      </c>
      <c r="M15" s="187">
        <f t="shared" si="10"/>
        <v>5602963.25</v>
      </c>
      <c r="N15" s="158">
        <v>0.6</v>
      </c>
      <c r="O15" s="187">
        <v>0</v>
      </c>
      <c r="P15" s="205">
        <v>0</v>
      </c>
      <c r="Q15" s="187">
        <f>ROUND(N15*6874101.38,2)</f>
        <v>4124460.83</v>
      </c>
      <c r="R15" s="187">
        <f>L15-Q15</f>
        <v>4279984.0399999991</v>
      </c>
      <c r="S15" s="186">
        <v>0</v>
      </c>
      <c r="T15" s="186">
        <v>0</v>
      </c>
      <c r="U15" s="186">
        <v>0</v>
      </c>
      <c r="V15" s="186">
        <v>0</v>
      </c>
      <c r="W15" s="188">
        <v>0</v>
      </c>
      <c r="X15" s="188">
        <v>0</v>
      </c>
      <c r="Y15" s="296" t="b">
        <f t="shared" si="5"/>
        <v>1</v>
      </c>
      <c r="Z15" s="297">
        <f t="shared" si="6"/>
        <v>0.6</v>
      </c>
      <c r="AA15" s="298" t="b">
        <f t="shared" si="7"/>
        <v>1</v>
      </c>
      <c r="AB15" s="298" t="b">
        <f t="shared" si="8"/>
        <v>1</v>
      </c>
    </row>
    <row r="16" spans="1:249" s="32" customFormat="1" ht="36.75" customHeight="1" x14ac:dyDescent="0.25">
      <c r="A16" s="177">
        <v>14</v>
      </c>
      <c r="B16" s="148" t="s">
        <v>124</v>
      </c>
      <c r="C16" s="153" t="s">
        <v>52</v>
      </c>
      <c r="D16" s="150" t="s">
        <v>110</v>
      </c>
      <c r="E16" s="149">
        <v>1610023</v>
      </c>
      <c r="F16" s="149" t="s">
        <v>289</v>
      </c>
      <c r="G16" s="150" t="s">
        <v>212</v>
      </c>
      <c r="H16" s="149" t="s">
        <v>46</v>
      </c>
      <c r="I16" s="183">
        <v>0.186</v>
      </c>
      <c r="J16" s="185" t="s">
        <v>284</v>
      </c>
      <c r="K16" s="189">
        <v>900000</v>
      </c>
      <c r="L16" s="167">
        <f t="shared" si="9"/>
        <v>630000</v>
      </c>
      <c r="M16" s="376">
        <f t="shared" si="10"/>
        <v>270000</v>
      </c>
      <c r="N16" s="131">
        <v>0.7</v>
      </c>
      <c r="O16" s="186">
        <v>0</v>
      </c>
      <c r="P16" s="188">
        <v>0</v>
      </c>
      <c r="Q16" s="180">
        <f t="shared" si="11"/>
        <v>630000</v>
      </c>
      <c r="R16" s="186">
        <v>0</v>
      </c>
      <c r="S16" s="186">
        <v>0</v>
      </c>
      <c r="T16" s="186">
        <v>0</v>
      </c>
      <c r="U16" s="186">
        <v>0</v>
      </c>
      <c r="V16" s="186">
        <v>0</v>
      </c>
      <c r="W16" s="188">
        <v>0</v>
      </c>
      <c r="X16" s="188">
        <v>0</v>
      </c>
      <c r="Y16" s="296" t="b">
        <f t="shared" si="5"/>
        <v>1</v>
      </c>
      <c r="Z16" s="297">
        <f t="shared" si="6"/>
        <v>0.7</v>
      </c>
      <c r="AA16" s="298" t="b">
        <f t="shared" si="7"/>
        <v>1</v>
      </c>
      <c r="AB16" s="298" t="b">
        <f t="shared" si="8"/>
        <v>1</v>
      </c>
    </row>
    <row r="17" spans="1:28" s="32" customFormat="1" ht="36.75" customHeight="1" x14ac:dyDescent="0.25">
      <c r="A17" s="261">
        <v>15</v>
      </c>
      <c r="B17" s="148" t="s">
        <v>120</v>
      </c>
      <c r="C17" s="153" t="s">
        <v>52</v>
      </c>
      <c r="D17" s="150" t="s">
        <v>66</v>
      </c>
      <c r="E17" s="149">
        <v>1604043</v>
      </c>
      <c r="F17" s="182" t="s">
        <v>84</v>
      </c>
      <c r="G17" s="254" t="s">
        <v>213</v>
      </c>
      <c r="H17" s="149" t="s">
        <v>46</v>
      </c>
      <c r="I17" s="183">
        <v>0.998</v>
      </c>
      <c r="J17" s="185" t="s">
        <v>282</v>
      </c>
      <c r="K17" s="189">
        <v>907072.77</v>
      </c>
      <c r="L17" s="167">
        <f t="shared" si="9"/>
        <v>544243.66</v>
      </c>
      <c r="M17" s="376">
        <f t="shared" si="10"/>
        <v>362829.11</v>
      </c>
      <c r="N17" s="131">
        <v>0.6</v>
      </c>
      <c r="O17" s="186">
        <v>0</v>
      </c>
      <c r="P17" s="188">
        <v>0</v>
      </c>
      <c r="Q17" s="180">
        <f t="shared" si="11"/>
        <v>544243.66</v>
      </c>
      <c r="R17" s="186">
        <v>0</v>
      </c>
      <c r="S17" s="186">
        <v>0</v>
      </c>
      <c r="T17" s="186">
        <v>0</v>
      </c>
      <c r="U17" s="186">
        <v>0</v>
      </c>
      <c r="V17" s="186">
        <v>0</v>
      </c>
      <c r="W17" s="188">
        <v>0</v>
      </c>
      <c r="X17" s="188">
        <v>0</v>
      </c>
      <c r="Y17" s="296" t="b">
        <f t="shared" si="5"/>
        <v>1</v>
      </c>
      <c r="Z17" s="297">
        <f t="shared" si="6"/>
        <v>0.6</v>
      </c>
      <c r="AA17" s="298" t="b">
        <f t="shared" si="7"/>
        <v>1</v>
      </c>
      <c r="AB17" s="298" t="b">
        <f t="shared" si="8"/>
        <v>1</v>
      </c>
    </row>
    <row r="18" spans="1:28" s="32" customFormat="1" ht="36.75" customHeight="1" x14ac:dyDescent="0.25">
      <c r="A18" s="177">
        <v>16</v>
      </c>
      <c r="B18" s="148" t="s">
        <v>160</v>
      </c>
      <c r="C18" s="153" t="s">
        <v>52</v>
      </c>
      <c r="D18" s="150" t="s">
        <v>121</v>
      </c>
      <c r="E18" s="149">
        <v>1608033</v>
      </c>
      <c r="F18" s="149" t="s">
        <v>56</v>
      </c>
      <c r="G18" s="150" t="s">
        <v>215</v>
      </c>
      <c r="H18" s="149" t="s">
        <v>270</v>
      </c>
      <c r="I18" s="183">
        <v>0.18</v>
      </c>
      <c r="J18" s="204" t="s">
        <v>279</v>
      </c>
      <c r="K18" s="189">
        <v>465056.92</v>
      </c>
      <c r="L18" s="167">
        <f>ROUND(K18*N18,2)</f>
        <v>325539.84000000003</v>
      </c>
      <c r="M18" s="376">
        <f>K18-L18</f>
        <v>139517.07999999996</v>
      </c>
      <c r="N18" s="131">
        <v>0.7</v>
      </c>
      <c r="O18" s="186">
        <v>0</v>
      </c>
      <c r="P18" s="188">
        <v>0</v>
      </c>
      <c r="Q18" s="180">
        <f>L18</f>
        <v>325539.84000000003</v>
      </c>
      <c r="R18" s="186">
        <v>0</v>
      </c>
      <c r="S18" s="186">
        <v>0</v>
      </c>
      <c r="T18" s="186">
        <v>0</v>
      </c>
      <c r="U18" s="186">
        <v>0</v>
      </c>
      <c r="V18" s="186">
        <v>0</v>
      </c>
      <c r="W18" s="188">
        <v>0</v>
      </c>
      <c r="X18" s="188">
        <v>0</v>
      </c>
      <c r="Y18" s="296" t="b">
        <f t="shared" si="5"/>
        <v>1</v>
      </c>
      <c r="Z18" s="297">
        <f t="shared" si="6"/>
        <v>0.7</v>
      </c>
      <c r="AA18" s="298" t="b">
        <f t="shared" si="7"/>
        <v>1</v>
      </c>
      <c r="AB18" s="298" t="b">
        <f t="shared" si="8"/>
        <v>1</v>
      </c>
    </row>
    <row r="19" spans="1:28" s="32" customFormat="1" ht="36.75" customHeight="1" x14ac:dyDescent="0.25">
      <c r="A19" s="261">
        <v>17</v>
      </c>
      <c r="B19" s="148" t="s">
        <v>125</v>
      </c>
      <c r="C19" s="153" t="s">
        <v>52</v>
      </c>
      <c r="D19" s="150" t="s">
        <v>65</v>
      </c>
      <c r="E19" s="149">
        <v>1609012</v>
      </c>
      <c r="F19" s="149" t="s">
        <v>55</v>
      </c>
      <c r="G19" s="150" t="s">
        <v>214</v>
      </c>
      <c r="H19" s="149" t="s">
        <v>46</v>
      </c>
      <c r="I19" s="183">
        <v>0.245</v>
      </c>
      <c r="J19" s="185" t="s">
        <v>285</v>
      </c>
      <c r="K19" s="189">
        <v>320266.5</v>
      </c>
      <c r="L19" s="167">
        <f t="shared" si="9"/>
        <v>160133.25</v>
      </c>
      <c r="M19" s="376">
        <f t="shared" si="10"/>
        <v>160133.25</v>
      </c>
      <c r="N19" s="131">
        <v>0.5</v>
      </c>
      <c r="O19" s="186">
        <v>0</v>
      </c>
      <c r="P19" s="188">
        <v>0</v>
      </c>
      <c r="Q19" s="180">
        <f t="shared" si="11"/>
        <v>160133.25</v>
      </c>
      <c r="R19" s="186">
        <v>0</v>
      </c>
      <c r="S19" s="186">
        <v>0</v>
      </c>
      <c r="T19" s="186">
        <v>0</v>
      </c>
      <c r="U19" s="186">
        <v>0</v>
      </c>
      <c r="V19" s="186">
        <v>0</v>
      </c>
      <c r="W19" s="188">
        <v>0</v>
      </c>
      <c r="X19" s="188">
        <v>0</v>
      </c>
      <c r="Y19" s="296" t="b">
        <f t="shared" si="5"/>
        <v>1</v>
      </c>
      <c r="Z19" s="297">
        <f t="shared" si="6"/>
        <v>0.5</v>
      </c>
      <c r="AA19" s="298" t="b">
        <f t="shared" si="7"/>
        <v>1</v>
      </c>
      <c r="AB19" s="298" t="b">
        <f t="shared" si="8"/>
        <v>1</v>
      </c>
    </row>
    <row r="20" spans="1:28" s="115" customFormat="1" ht="36.75" customHeight="1" x14ac:dyDescent="0.25">
      <c r="A20" s="177">
        <v>18</v>
      </c>
      <c r="B20" s="148" t="s">
        <v>126</v>
      </c>
      <c r="C20" s="153" t="s">
        <v>52</v>
      </c>
      <c r="D20" s="150" t="s">
        <v>66</v>
      </c>
      <c r="E20" s="149">
        <v>1604043</v>
      </c>
      <c r="F20" s="182" t="s">
        <v>84</v>
      </c>
      <c r="G20" s="150" t="s">
        <v>216</v>
      </c>
      <c r="H20" s="149" t="s">
        <v>272</v>
      </c>
      <c r="I20" s="183">
        <v>0.52200000000000002</v>
      </c>
      <c r="J20" s="185" t="s">
        <v>336</v>
      </c>
      <c r="K20" s="189">
        <v>906230.91</v>
      </c>
      <c r="L20" s="167">
        <f t="shared" si="9"/>
        <v>543738.55000000005</v>
      </c>
      <c r="M20" s="376">
        <f t="shared" si="10"/>
        <v>362492.36</v>
      </c>
      <c r="N20" s="131">
        <v>0.6</v>
      </c>
      <c r="O20" s="186">
        <v>0</v>
      </c>
      <c r="P20" s="188">
        <v>0</v>
      </c>
      <c r="Q20" s="180">
        <f t="shared" si="11"/>
        <v>543738.55000000005</v>
      </c>
      <c r="R20" s="186">
        <v>0</v>
      </c>
      <c r="S20" s="186">
        <v>0</v>
      </c>
      <c r="T20" s="186">
        <v>0</v>
      </c>
      <c r="U20" s="186">
        <v>0</v>
      </c>
      <c r="V20" s="186">
        <v>0</v>
      </c>
      <c r="W20" s="188">
        <v>0</v>
      </c>
      <c r="X20" s="188">
        <v>0</v>
      </c>
      <c r="Y20" s="296" t="b">
        <f t="shared" si="5"/>
        <v>1</v>
      </c>
      <c r="Z20" s="297">
        <f t="shared" si="6"/>
        <v>0.6</v>
      </c>
      <c r="AA20" s="298" t="b">
        <f t="shared" si="7"/>
        <v>1</v>
      </c>
      <c r="AB20" s="298" t="b">
        <f t="shared" si="8"/>
        <v>1</v>
      </c>
    </row>
    <row r="21" spans="1:28" s="115" customFormat="1" ht="36.75" customHeight="1" x14ac:dyDescent="0.25">
      <c r="A21" s="261">
        <v>19</v>
      </c>
      <c r="B21" s="148" t="s">
        <v>127</v>
      </c>
      <c r="C21" s="153" t="s">
        <v>52</v>
      </c>
      <c r="D21" s="150" t="s">
        <v>72</v>
      </c>
      <c r="E21" s="149">
        <v>1603062</v>
      </c>
      <c r="F21" s="149" t="s">
        <v>60</v>
      </c>
      <c r="G21" s="150" t="s">
        <v>217</v>
      </c>
      <c r="H21" s="149" t="s">
        <v>272</v>
      </c>
      <c r="I21" s="183">
        <v>3.52</v>
      </c>
      <c r="J21" s="185" t="s">
        <v>281</v>
      </c>
      <c r="K21" s="189">
        <v>1711599.23</v>
      </c>
      <c r="L21" s="167">
        <f t="shared" si="9"/>
        <v>1198119.46</v>
      </c>
      <c r="M21" s="376">
        <f t="shared" si="10"/>
        <v>513479.77</v>
      </c>
      <c r="N21" s="131">
        <v>0.7</v>
      </c>
      <c r="O21" s="186">
        <v>0</v>
      </c>
      <c r="P21" s="188">
        <v>0</v>
      </c>
      <c r="Q21" s="180">
        <f t="shared" si="11"/>
        <v>1198119.46</v>
      </c>
      <c r="R21" s="186">
        <v>0</v>
      </c>
      <c r="S21" s="186">
        <v>0</v>
      </c>
      <c r="T21" s="186">
        <v>0</v>
      </c>
      <c r="U21" s="186">
        <v>0</v>
      </c>
      <c r="V21" s="186">
        <v>0</v>
      </c>
      <c r="W21" s="188">
        <v>0</v>
      </c>
      <c r="X21" s="188">
        <v>0</v>
      </c>
      <c r="Y21" s="296" t="b">
        <f t="shared" si="5"/>
        <v>1</v>
      </c>
      <c r="Z21" s="297">
        <f t="shared" si="6"/>
        <v>0.7</v>
      </c>
      <c r="AA21" s="298" t="b">
        <f t="shared" si="7"/>
        <v>1</v>
      </c>
      <c r="AB21" s="298" t="b">
        <f t="shared" si="8"/>
        <v>1</v>
      </c>
    </row>
    <row r="22" spans="1:28" s="115" customFormat="1" ht="36.75" customHeight="1" x14ac:dyDescent="0.25">
      <c r="A22" s="177">
        <v>20</v>
      </c>
      <c r="B22" s="148" t="s">
        <v>129</v>
      </c>
      <c r="C22" s="153" t="s">
        <v>52</v>
      </c>
      <c r="D22" s="150" t="s">
        <v>121</v>
      </c>
      <c r="E22" s="149">
        <v>1608033</v>
      </c>
      <c r="F22" s="149" t="s">
        <v>56</v>
      </c>
      <c r="G22" s="150" t="s">
        <v>219</v>
      </c>
      <c r="H22" s="149" t="s">
        <v>46</v>
      </c>
      <c r="I22" s="183">
        <v>0.39400000000000002</v>
      </c>
      <c r="J22" s="185" t="s">
        <v>279</v>
      </c>
      <c r="K22" s="189">
        <v>597788.36</v>
      </c>
      <c r="L22" s="167">
        <f>ROUND(K22*N22,2)</f>
        <v>418451.85</v>
      </c>
      <c r="M22" s="376">
        <f>K22-L22</f>
        <v>179336.51</v>
      </c>
      <c r="N22" s="131">
        <v>0.7</v>
      </c>
      <c r="O22" s="186">
        <v>0</v>
      </c>
      <c r="P22" s="188">
        <v>0</v>
      </c>
      <c r="Q22" s="180">
        <f>L22</f>
        <v>418451.85</v>
      </c>
      <c r="R22" s="186">
        <v>0</v>
      </c>
      <c r="S22" s="186">
        <v>0</v>
      </c>
      <c r="T22" s="186">
        <v>0</v>
      </c>
      <c r="U22" s="186">
        <v>0</v>
      </c>
      <c r="V22" s="186">
        <v>0</v>
      </c>
      <c r="W22" s="188">
        <v>0</v>
      </c>
      <c r="X22" s="188">
        <v>0</v>
      </c>
      <c r="Y22" s="296" t="b">
        <f t="shared" si="5"/>
        <v>1</v>
      </c>
      <c r="Z22" s="297">
        <f t="shared" si="6"/>
        <v>0.7</v>
      </c>
      <c r="AA22" s="298" t="b">
        <f t="shared" si="7"/>
        <v>1</v>
      </c>
      <c r="AB22" s="298" t="b">
        <f t="shared" si="8"/>
        <v>1</v>
      </c>
    </row>
    <row r="23" spans="1:28" s="115" customFormat="1" ht="36.75" customHeight="1" x14ac:dyDescent="0.25">
      <c r="A23" s="261">
        <v>21</v>
      </c>
      <c r="B23" s="148" t="s">
        <v>128</v>
      </c>
      <c r="C23" s="153" t="s">
        <v>52</v>
      </c>
      <c r="D23" s="150" t="s">
        <v>72</v>
      </c>
      <c r="E23" s="149">
        <v>1603062</v>
      </c>
      <c r="F23" s="149" t="s">
        <v>60</v>
      </c>
      <c r="G23" s="150" t="s">
        <v>220</v>
      </c>
      <c r="H23" s="149" t="s">
        <v>272</v>
      </c>
      <c r="I23" s="183">
        <v>0.747</v>
      </c>
      <c r="J23" s="185" t="s">
        <v>282</v>
      </c>
      <c r="K23" s="189">
        <v>316053.77</v>
      </c>
      <c r="L23" s="167">
        <f>ROUND(K23*N23,2)</f>
        <v>221237.64</v>
      </c>
      <c r="M23" s="376">
        <f>K23-L23</f>
        <v>94816.13</v>
      </c>
      <c r="N23" s="131">
        <v>0.7</v>
      </c>
      <c r="O23" s="186">
        <v>0</v>
      </c>
      <c r="P23" s="188">
        <v>0</v>
      </c>
      <c r="Q23" s="180">
        <f>L23</f>
        <v>221237.64</v>
      </c>
      <c r="R23" s="186">
        <v>0</v>
      </c>
      <c r="S23" s="186">
        <v>0</v>
      </c>
      <c r="T23" s="186">
        <v>0</v>
      </c>
      <c r="U23" s="186">
        <v>0</v>
      </c>
      <c r="V23" s="186">
        <v>0</v>
      </c>
      <c r="W23" s="188">
        <v>0</v>
      </c>
      <c r="X23" s="188">
        <v>0</v>
      </c>
      <c r="Y23" s="296" t="b">
        <f t="shared" si="5"/>
        <v>1</v>
      </c>
      <c r="Z23" s="297">
        <f t="shared" si="6"/>
        <v>0.7</v>
      </c>
      <c r="AA23" s="298" t="b">
        <f t="shared" si="7"/>
        <v>1</v>
      </c>
      <c r="AB23" s="298" t="b">
        <f t="shared" si="8"/>
        <v>1</v>
      </c>
    </row>
    <row r="24" spans="1:28" s="115" customFormat="1" ht="30.75" customHeight="1" x14ac:dyDescent="0.25">
      <c r="A24" s="177">
        <v>22</v>
      </c>
      <c r="B24" s="148" t="s">
        <v>130</v>
      </c>
      <c r="C24" s="153" t="s">
        <v>52</v>
      </c>
      <c r="D24" s="150" t="s">
        <v>92</v>
      </c>
      <c r="E24" s="149">
        <v>1604013</v>
      </c>
      <c r="F24" s="182" t="s">
        <v>84</v>
      </c>
      <c r="G24" s="150" t="s">
        <v>218</v>
      </c>
      <c r="H24" s="149" t="s">
        <v>272</v>
      </c>
      <c r="I24" s="183">
        <v>0.58799999999999997</v>
      </c>
      <c r="J24" s="185" t="s">
        <v>281</v>
      </c>
      <c r="K24" s="189">
        <v>1226799.24</v>
      </c>
      <c r="L24" s="167">
        <f t="shared" si="9"/>
        <v>736079.54</v>
      </c>
      <c r="M24" s="376">
        <f t="shared" si="10"/>
        <v>490719.69999999995</v>
      </c>
      <c r="N24" s="131">
        <v>0.6</v>
      </c>
      <c r="O24" s="186">
        <v>0</v>
      </c>
      <c r="P24" s="188">
        <v>0</v>
      </c>
      <c r="Q24" s="180">
        <f t="shared" si="11"/>
        <v>736079.54</v>
      </c>
      <c r="R24" s="186">
        <v>0</v>
      </c>
      <c r="S24" s="186">
        <v>0</v>
      </c>
      <c r="T24" s="186">
        <v>0</v>
      </c>
      <c r="U24" s="186">
        <v>0</v>
      </c>
      <c r="V24" s="186">
        <v>0</v>
      </c>
      <c r="W24" s="188">
        <v>0</v>
      </c>
      <c r="X24" s="188">
        <v>0</v>
      </c>
      <c r="Y24" s="296" t="b">
        <f t="shared" si="5"/>
        <v>1</v>
      </c>
      <c r="Z24" s="297">
        <f t="shared" si="6"/>
        <v>0.6</v>
      </c>
      <c r="AA24" s="298" t="b">
        <f t="shared" si="7"/>
        <v>1</v>
      </c>
      <c r="AB24" s="298" t="b">
        <f t="shared" si="8"/>
        <v>1</v>
      </c>
    </row>
    <row r="25" spans="1:28" s="115" customFormat="1" ht="30.75" customHeight="1" x14ac:dyDescent="0.25">
      <c r="A25" s="261">
        <v>23</v>
      </c>
      <c r="B25" s="148" t="s">
        <v>131</v>
      </c>
      <c r="C25" s="153" t="s">
        <v>52</v>
      </c>
      <c r="D25" s="150" t="s">
        <v>122</v>
      </c>
      <c r="E25" s="149">
        <v>1607073</v>
      </c>
      <c r="F25" s="149" t="s">
        <v>45</v>
      </c>
      <c r="G25" s="150" t="s">
        <v>221</v>
      </c>
      <c r="H25" s="149" t="s">
        <v>272</v>
      </c>
      <c r="I25" s="183">
        <v>0.57299999999999995</v>
      </c>
      <c r="J25" s="185" t="s">
        <v>283</v>
      </c>
      <c r="K25" s="189">
        <v>250154.09</v>
      </c>
      <c r="L25" s="167">
        <f t="shared" si="9"/>
        <v>200123.27</v>
      </c>
      <c r="M25" s="376">
        <f t="shared" si="10"/>
        <v>50030.820000000007</v>
      </c>
      <c r="N25" s="131">
        <v>0.8</v>
      </c>
      <c r="O25" s="186">
        <v>0</v>
      </c>
      <c r="P25" s="188">
        <v>0</v>
      </c>
      <c r="Q25" s="180">
        <f t="shared" si="11"/>
        <v>200123.27</v>
      </c>
      <c r="R25" s="186">
        <v>0</v>
      </c>
      <c r="S25" s="186">
        <v>0</v>
      </c>
      <c r="T25" s="186">
        <v>0</v>
      </c>
      <c r="U25" s="186">
        <v>0</v>
      </c>
      <c r="V25" s="186">
        <v>0</v>
      </c>
      <c r="W25" s="188">
        <v>0</v>
      </c>
      <c r="X25" s="188">
        <v>0</v>
      </c>
      <c r="Y25" s="296" t="b">
        <f t="shared" si="5"/>
        <v>1</v>
      </c>
      <c r="Z25" s="297">
        <f t="shared" si="6"/>
        <v>0.8</v>
      </c>
      <c r="AA25" s="298" t="b">
        <f t="shared" si="7"/>
        <v>1</v>
      </c>
      <c r="AB25" s="298" t="b">
        <f t="shared" si="8"/>
        <v>1</v>
      </c>
    </row>
    <row r="26" spans="1:28" s="115" customFormat="1" ht="30.75" customHeight="1" x14ac:dyDescent="0.25">
      <c r="A26" s="177">
        <v>24</v>
      </c>
      <c r="B26" s="148" t="s">
        <v>170</v>
      </c>
      <c r="C26" s="153" t="s">
        <v>52</v>
      </c>
      <c r="D26" s="150" t="s">
        <v>146</v>
      </c>
      <c r="E26" s="149">
        <v>1602013</v>
      </c>
      <c r="F26" s="149" t="s">
        <v>83</v>
      </c>
      <c r="G26" s="150" t="s">
        <v>222</v>
      </c>
      <c r="H26" s="149" t="s">
        <v>46</v>
      </c>
      <c r="I26" s="183">
        <v>0.251</v>
      </c>
      <c r="J26" s="185" t="s">
        <v>284</v>
      </c>
      <c r="K26" s="189">
        <v>753075.11</v>
      </c>
      <c r="L26" s="253">
        <f t="shared" si="9"/>
        <v>602460.09</v>
      </c>
      <c r="M26" s="376">
        <f t="shared" si="10"/>
        <v>150615.02000000002</v>
      </c>
      <c r="N26" s="359">
        <v>0.8</v>
      </c>
      <c r="O26" s="186">
        <v>0</v>
      </c>
      <c r="P26" s="188">
        <v>0</v>
      </c>
      <c r="Q26" s="180">
        <f t="shared" si="11"/>
        <v>602460.09</v>
      </c>
      <c r="R26" s="186">
        <v>0</v>
      </c>
      <c r="S26" s="186">
        <v>0</v>
      </c>
      <c r="T26" s="186">
        <v>0</v>
      </c>
      <c r="U26" s="186">
        <v>0</v>
      </c>
      <c r="V26" s="186">
        <v>0</v>
      </c>
      <c r="W26" s="188">
        <v>0</v>
      </c>
      <c r="X26" s="188">
        <v>0</v>
      </c>
      <c r="Y26" s="296" t="b">
        <f t="shared" si="5"/>
        <v>1</v>
      </c>
      <c r="Z26" s="297">
        <f t="shared" si="6"/>
        <v>0.8</v>
      </c>
      <c r="AA26" s="298" t="b">
        <f t="shared" si="7"/>
        <v>1</v>
      </c>
      <c r="AB26" s="298" t="b">
        <f t="shared" si="8"/>
        <v>1</v>
      </c>
    </row>
    <row r="27" spans="1:28" s="115" customFormat="1" ht="30.75" customHeight="1" x14ac:dyDescent="0.25">
      <c r="A27" s="261">
        <v>25</v>
      </c>
      <c r="B27" s="148" t="s">
        <v>132</v>
      </c>
      <c r="C27" s="153" t="s">
        <v>52</v>
      </c>
      <c r="D27" s="150" t="s">
        <v>74</v>
      </c>
      <c r="E27" s="149">
        <v>1607033</v>
      </c>
      <c r="F27" s="149" t="s">
        <v>45</v>
      </c>
      <c r="G27" s="150" t="s">
        <v>223</v>
      </c>
      <c r="H27" s="149" t="s">
        <v>46</v>
      </c>
      <c r="I27" s="183">
        <v>0.34499999999999997</v>
      </c>
      <c r="J27" s="185" t="s">
        <v>285</v>
      </c>
      <c r="K27" s="189">
        <v>593250.30000000005</v>
      </c>
      <c r="L27" s="167">
        <f t="shared" si="9"/>
        <v>415275.21</v>
      </c>
      <c r="M27" s="376">
        <f t="shared" si="10"/>
        <v>177975.09000000003</v>
      </c>
      <c r="N27" s="131">
        <v>0.7</v>
      </c>
      <c r="O27" s="186">
        <v>0</v>
      </c>
      <c r="P27" s="188">
        <v>0</v>
      </c>
      <c r="Q27" s="180">
        <f t="shared" si="11"/>
        <v>415275.21</v>
      </c>
      <c r="R27" s="186">
        <v>0</v>
      </c>
      <c r="S27" s="186">
        <v>0</v>
      </c>
      <c r="T27" s="186">
        <v>0</v>
      </c>
      <c r="U27" s="186">
        <v>0</v>
      </c>
      <c r="V27" s="186">
        <v>0</v>
      </c>
      <c r="W27" s="188">
        <v>0</v>
      </c>
      <c r="X27" s="188">
        <v>0</v>
      </c>
      <c r="Y27" s="296" t="b">
        <f t="shared" si="5"/>
        <v>1</v>
      </c>
      <c r="Z27" s="297">
        <f t="shared" si="6"/>
        <v>0.7</v>
      </c>
      <c r="AA27" s="298" t="b">
        <f t="shared" si="7"/>
        <v>1</v>
      </c>
      <c r="AB27" s="298" t="b">
        <f t="shared" si="8"/>
        <v>1</v>
      </c>
    </row>
    <row r="28" spans="1:28" s="120" customFormat="1" ht="30.75" customHeight="1" x14ac:dyDescent="0.25">
      <c r="A28" s="177">
        <v>26</v>
      </c>
      <c r="B28" s="148" t="s">
        <v>133</v>
      </c>
      <c r="C28" s="198" t="s">
        <v>52</v>
      </c>
      <c r="D28" s="150" t="s">
        <v>123</v>
      </c>
      <c r="E28" s="141">
        <v>1610013</v>
      </c>
      <c r="F28" s="141" t="s">
        <v>49</v>
      </c>
      <c r="G28" s="254" t="s">
        <v>224</v>
      </c>
      <c r="H28" s="141" t="s">
        <v>46</v>
      </c>
      <c r="I28" s="183">
        <v>0.98899999999999999</v>
      </c>
      <c r="J28" s="149" t="s">
        <v>285</v>
      </c>
      <c r="K28" s="189">
        <v>1971410.78</v>
      </c>
      <c r="L28" s="167">
        <f t="shared" si="9"/>
        <v>1379987.55</v>
      </c>
      <c r="M28" s="376">
        <f t="shared" si="10"/>
        <v>591423.23</v>
      </c>
      <c r="N28" s="131">
        <v>0.7</v>
      </c>
      <c r="O28" s="186">
        <v>0</v>
      </c>
      <c r="P28" s="188">
        <v>0</v>
      </c>
      <c r="Q28" s="180">
        <f t="shared" si="11"/>
        <v>1379987.55</v>
      </c>
      <c r="R28" s="186">
        <v>0</v>
      </c>
      <c r="S28" s="186">
        <v>0</v>
      </c>
      <c r="T28" s="186">
        <v>0</v>
      </c>
      <c r="U28" s="186">
        <v>0</v>
      </c>
      <c r="V28" s="186">
        <v>0</v>
      </c>
      <c r="W28" s="188">
        <v>0</v>
      </c>
      <c r="X28" s="188">
        <v>0</v>
      </c>
      <c r="Y28" s="296" t="b">
        <f t="shared" si="5"/>
        <v>1</v>
      </c>
      <c r="Z28" s="297">
        <f t="shared" si="6"/>
        <v>0.7</v>
      </c>
      <c r="AA28" s="298" t="b">
        <f t="shared" si="7"/>
        <v>1</v>
      </c>
      <c r="AB28" s="298" t="b">
        <f t="shared" si="8"/>
        <v>1</v>
      </c>
    </row>
    <row r="29" spans="1:28" s="120" customFormat="1" ht="30.75" customHeight="1" x14ac:dyDescent="0.25">
      <c r="A29" s="261">
        <v>27</v>
      </c>
      <c r="B29" s="148" t="s">
        <v>134</v>
      </c>
      <c r="C29" s="153" t="s">
        <v>52</v>
      </c>
      <c r="D29" s="150" t="s">
        <v>70</v>
      </c>
      <c r="E29" s="149">
        <v>1609032</v>
      </c>
      <c r="F29" s="149" t="s">
        <v>55</v>
      </c>
      <c r="G29" s="254" t="s">
        <v>225</v>
      </c>
      <c r="H29" s="149" t="s">
        <v>270</v>
      </c>
      <c r="I29" s="183">
        <v>0.249</v>
      </c>
      <c r="J29" s="149" t="s">
        <v>278</v>
      </c>
      <c r="K29" s="189">
        <v>215957.56</v>
      </c>
      <c r="L29" s="167">
        <f t="shared" ref="L29:L34" si="12">ROUND(K29*N29,2)</f>
        <v>129574.54</v>
      </c>
      <c r="M29" s="376">
        <f t="shared" ref="M29:M34" si="13">K29-L29</f>
        <v>86383.02</v>
      </c>
      <c r="N29" s="131">
        <v>0.6</v>
      </c>
      <c r="O29" s="186">
        <v>0</v>
      </c>
      <c r="P29" s="188">
        <v>0</v>
      </c>
      <c r="Q29" s="180">
        <f t="shared" ref="Q29:Q34" si="14">L29</f>
        <v>129574.54</v>
      </c>
      <c r="R29" s="186">
        <v>0</v>
      </c>
      <c r="S29" s="186">
        <v>0</v>
      </c>
      <c r="T29" s="186">
        <v>0</v>
      </c>
      <c r="U29" s="186">
        <v>0</v>
      </c>
      <c r="V29" s="186">
        <v>0</v>
      </c>
      <c r="W29" s="188">
        <v>0</v>
      </c>
      <c r="X29" s="188">
        <v>0</v>
      </c>
      <c r="Y29" s="296" t="b">
        <f t="shared" si="5"/>
        <v>1</v>
      </c>
      <c r="Z29" s="297">
        <f t="shared" si="6"/>
        <v>0.6</v>
      </c>
      <c r="AA29" s="298" t="b">
        <f t="shared" si="7"/>
        <v>1</v>
      </c>
      <c r="AB29" s="298" t="b">
        <f t="shared" si="8"/>
        <v>1</v>
      </c>
    </row>
    <row r="30" spans="1:28" s="120" customFormat="1" ht="30.75" customHeight="1" x14ac:dyDescent="0.25">
      <c r="A30" s="177">
        <v>28</v>
      </c>
      <c r="B30" s="148" t="s">
        <v>135</v>
      </c>
      <c r="C30" s="153" t="s">
        <v>52</v>
      </c>
      <c r="D30" s="150" t="s">
        <v>68</v>
      </c>
      <c r="E30" s="149">
        <v>1609092</v>
      </c>
      <c r="F30" s="149" t="s">
        <v>55</v>
      </c>
      <c r="G30" s="150" t="s">
        <v>227</v>
      </c>
      <c r="H30" s="149" t="s">
        <v>46</v>
      </c>
      <c r="I30" s="183">
        <v>0.86</v>
      </c>
      <c r="J30" s="185" t="s">
        <v>277</v>
      </c>
      <c r="K30" s="190">
        <v>1343655.26</v>
      </c>
      <c r="L30" s="167">
        <f t="shared" si="12"/>
        <v>940558.68</v>
      </c>
      <c r="M30" s="376">
        <f t="shared" si="13"/>
        <v>403096.57999999996</v>
      </c>
      <c r="N30" s="131">
        <v>0.7</v>
      </c>
      <c r="O30" s="186">
        <v>0</v>
      </c>
      <c r="P30" s="188">
        <v>0</v>
      </c>
      <c r="Q30" s="180">
        <f t="shared" si="14"/>
        <v>940558.68</v>
      </c>
      <c r="R30" s="186">
        <v>0</v>
      </c>
      <c r="S30" s="186">
        <v>0</v>
      </c>
      <c r="T30" s="186">
        <v>0</v>
      </c>
      <c r="U30" s="186">
        <v>0</v>
      </c>
      <c r="V30" s="186">
        <v>0</v>
      </c>
      <c r="W30" s="188">
        <v>0</v>
      </c>
      <c r="X30" s="188">
        <v>0</v>
      </c>
      <c r="Y30" s="296" t="b">
        <f t="shared" si="5"/>
        <v>1</v>
      </c>
      <c r="Z30" s="297">
        <f t="shared" si="6"/>
        <v>0.7</v>
      </c>
      <c r="AA30" s="298" t="b">
        <f t="shared" si="7"/>
        <v>1</v>
      </c>
      <c r="AB30" s="298" t="b">
        <f t="shared" si="8"/>
        <v>1</v>
      </c>
    </row>
    <row r="31" spans="1:28" s="120" customFormat="1" ht="34.5" customHeight="1" x14ac:dyDescent="0.25">
      <c r="A31" s="261">
        <v>29</v>
      </c>
      <c r="B31" s="148" t="s">
        <v>136</v>
      </c>
      <c r="C31" s="153" t="s">
        <v>52</v>
      </c>
      <c r="D31" s="150" t="s">
        <v>122</v>
      </c>
      <c r="E31" s="149">
        <v>1607073</v>
      </c>
      <c r="F31" s="149" t="s">
        <v>45</v>
      </c>
      <c r="G31" s="254" t="s">
        <v>226</v>
      </c>
      <c r="H31" s="149" t="s">
        <v>272</v>
      </c>
      <c r="I31" s="183">
        <v>0.69199999999999995</v>
      </c>
      <c r="J31" s="185" t="s">
        <v>283</v>
      </c>
      <c r="K31" s="189">
        <v>256166.11</v>
      </c>
      <c r="L31" s="167">
        <f t="shared" si="12"/>
        <v>204932.89</v>
      </c>
      <c r="M31" s="376">
        <f t="shared" si="13"/>
        <v>51233.219999999972</v>
      </c>
      <c r="N31" s="131">
        <v>0.8</v>
      </c>
      <c r="O31" s="186">
        <v>0</v>
      </c>
      <c r="P31" s="188">
        <v>0</v>
      </c>
      <c r="Q31" s="180">
        <f t="shared" si="14"/>
        <v>204932.89</v>
      </c>
      <c r="R31" s="186">
        <v>0</v>
      </c>
      <c r="S31" s="186">
        <v>0</v>
      </c>
      <c r="T31" s="186">
        <v>0</v>
      </c>
      <c r="U31" s="186">
        <v>0</v>
      </c>
      <c r="V31" s="186">
        <v>0</v>
      </c>
      <c r="W31" s="188">
        <v>0</v>
      </c>
      <c r="X31" s="188">
        <v>0</v>
      </c>
      <c r="Y31" s="296" t="b">
        <f t="shared" si="5"/>
        <v>1</v>
      </c>
      <c r="Z31" s="297">
        <f t="shared" si="6"/>
        <v>0.8</v>
      </c>
      <c r="AA31" s="298" t="b">
        <f t="shared" si="7"/>
        <v>1</v>
      </c>
      <c r="AB31" s="298" t="b">
        <f t="shared" si="8"/>
        <v>1</v>
      </c>
    </row>
    <row r="32" spans="1:28" s="115" customFormat="1" ht="34.5" customHeight="1" x14ac:dyDescent="0.25">
      <c r="A32" s="177">
        <v>30</v>
      </c>
      <c r="B32" s="148" t="s">
        <v>138</v>
      </c>
      <c r="C32" s="149" t="s">
        <v>52</v>
      </c>
      <c r="D32" s="150" t="s">
        <v>145</v>
      </c>
      <c r="E32" s="149">
        <v>1609132</v>
      </c>
      <c r="F32" s="149" t="s">
        <v>55</v>
      </c>
      <c r="G32" s="150" t="s">
        <v>231</v>
      </c>
      <c r="H32" s="149" t="s">
        <v>46</v>
      </c>
      <c r="I32" s="183">
        <v>0.96899999999999997</v>
      </c>
      <c r="J32" s="185" t="s">
        <v>284</v>
      </c>
      <c r="K32" s="189">
        <v>795000</v>
      </c>
      <c r="L32" s="167">
        <f t="shared" si="12"/>
        <v>477000</v>
      </c>
      <c r="M32" s="376">
        <f t="shared" si="13"/>
        <v>318000</v>
      </c>
      <c r="N32" s="131">
        <v>0.6</v>
      </c>
      <c r="O32" s="186">
        <v>0</v>
      </c>
      <c r="P32" s="188">
        <v>0</v>
      </c>
      <c r="Q32" s="180">
        <f t="shared" si="14"/>
        <v>477000</v>
      </c>
      <c r="R32" s="186">
        <v>0</v>
      </c>
      <c r="S32" s="186">
        <v>0</v>
      </c>
      <c r="T32" s="186">
        <v>0</v>
      </c>
      <c r="U32" s="186">
        <v>0</v>
      </c>
      <c r="V32" s="186">
        <v>0</v>
      </c>
      <c r="W32" s="188">
        <v>0</v>
      </c>
      <c r="X32" s="188">
        <v>0</v>
      </c>
      <c r="Y32" s="296" t="b">
        <f t="shared" si="5"/>
        <v>1</v>
      </c>
      <c r="Z32" s="297">
        <f t="shared" si="6"/>
        <v>0.6</v>
      </c>
      <c r="AA32" s="298" t="b">
        <f t="shared" si="7"/>
        <v>1</v>
      </c>
      <c r="AB32" s="298" t="b">
        <f t="shared" si="8"/>
        <v>1</v>
      </c>
    </row>
    <row r="33" spans="1:28" s="115" customFormat="1" ht="34.5" customHeight="1" x14ac:dyDescent="0.25">
      <c r="A33" s="261">
        <v>31</v>
      </c>
      <c r="B33" s="148" t="s">
        <v>140</v>
      </c>
      <c r="C33" s="149" t="s">
        <v>52</v>
      </c>
      <c r="D33" s="150" t="s">
        <v>74</v>
      </c>
      <c r="E33" s="149">
        <v>1607033</v>
      </c>
      <c r="F33" s="149" t="s">
        <v>45</v>
      </c>
      <c r="G33" s="150" t="s">
        <v>229</v>
      </c>
      <c r="H33" s="149" t="s">
        <v>46</v>
      </c>
      <c r="I33" s="183">
        <v>0.65200000000000002</v>
      </c>
      <c r="J33" s="185" t="s">
        <v>285</v>
      </c>
      <c r="K33" s="189">
        <v>847099.12</v>
      </c>
      <c r="L33" s="167">
        <f t="shared" si="12"/>
        <v>592969.38</v>
      </c>
      <c r="M33" s="376">
        <f t="shared" si="13"/>
        <v>254129.74</v>
      </c>
      <c r="N33" s="131">
        <v>0.7</v>
      </c>
      <c r="O33" s="186">
        <v>0</v>
      </c>
      <c r="P33" s="188">
        <v>0</v>
      </c>
      <c r="Q33" s="180">
        <f t="shared" si="14"/>
        <v>592969.38</v>
      </c>
      <c r="R33" s="186">
        <v>0</v>
      </c>
      <c r="S33" s="186">
        <v>0</v>
      </c>
      <c r="T33" s="186">
        <v>0</v>
      </c>
      <c r="U33" s="186">
        <v>0</v>
      </c>
      <c r="V33" s="186">
        <v>0</v>
      </c>
      <c r="W33" s="188">
        <v>0</v>
      </c>
      <c r="X33" s="188">
        <v>0</v>
      </c>
      <c r="Y33" s="296" t="b">
        <f t="shared" si="5"/>
        <v>1</v>
      </c>
      <c r="Z33" s="297">
        <f t="shared" si="6"/>
        <v>0.7</v>
      </c>
      <c r="AA33" s="298" t="b">
        <f t="shared" si="7"/>
        <v>1</v>
      </c>
      <c r="AB33" s="298" t="b">
        <f t="shared" si="8"/>
        <v>1</v>
      </c>
    </row>
    <row r="34" spans="1:28" s="115" customFormat="1" ht="34.5" customHeight="1" x14ac:dyDescent="0.25">
      <c r="A34" s="177">
        <v>32</v>
      </c>
      <c r="B34" s="148" t="s">
        <v>139</v>
      </c>
      <c r="C34" s="149" t="s">
        <v>52</v>
      </c>
      <c r="D34" s="150" t="s">
        <v>78</v>
      </c>
      <c r="E34" s="149">
        <v>1606023</v>
      </c>
      <c r="F34" s="149" t="s">
        <v>58</v>
      </c>
      <c r="G34" s="150" t="s">
        <v>230</v>
      </c>
      <c r="H34" s="149" t="s">
        <v>270</v>
      </c>
      <c r="I34" s="183">
        <v>0.33700000000000002</v>
      </c>
      <c r="J34" s="185" t="s">
        <v>284</v>
      </c>
      <c r="K34" s="189">
        <v>793114.73</v>
      </c>
      <c r="L34" s="167">
        <f t="shared" si="12"/>
        <v>475868.84</v>
      </c>
      <c r="M34" s="376">
        <f t="shared" si="13"/>
        <v>317245.88999999996</v>
      </c>
      <c r="N34" s="131">
        <v>0.6</v>
      </c>
      <c r="O34" s="186">
        <v>0</v>
      </c>
      <c r="P34" s="188">
        <v>0</v>
      </c>
      <c r="Q34" s="180">
        <f t="shared" si="14"/>
        <v>475868.84</v>
      </c>
      <c r="R34" s="186">
        <v>0</v>
      </c>
      <c r="S34" s="186">
        <v>0</v>
      </c>
      <c r="T34" s="186">
        <v>0</v>
      </c>
      <c r="U34" s="186">
        <v>0</v>
      </c>
      <c r="V34" s="186">
        <v>0</v>
      </c>
      <c r="W34" s="188">
        <v>0</v>
      </c>
      <c r="X34" s="188">
        <v>0</v>
      </c>
      <c r="Y34" s="296" t="b">
        <f t="shared" si="5"/>
        <v>1</v>
      </c>
      <c r="Z34" s="297">
        <f t="shared" si="6"/>
        <v>0.6</v>
      </c>
      <c r="AA34" s="298" t="b">
        <f t="shared" si="7"/>
        <v>1</v>
      </c>
      <c r="AB34" s="298" t="b">
        <f t="shared" si="8"/>
        <v>1</v>
      </c>
    </row>
    <row r="35" spans="1:28" s="32" customFormat="1" ht="34.5" customHeight="1" x14ac:dyDescent="0.25">
      <c r="A35" s="261">
        <v>33</v>
      </c>
      <c r="B35" s="148" t="s">
        <v>137</v>
      </c>
      <c r="C35" s="149" t="s">
        <v>52</v>
      </c>
      <c r="D35" s="150" t="s">
        <v>123</v>
      </c>
      <c r="E35" s="149">
        <v>1610013</v>
      </c>
      <c r="F35" s="141" t="s">
        <v>49</v>
      </c>
      <c r="G35" s="150" t="s">
        <v>228</v>
      </c>
      <c r="H35" s="149" t="s">
        <v>46</v>
      </c>
      <c r="I35" s="183">
        <v>1.083</v>
      </c>
      <c r="J35" s="185" t="s">
        <v>278</v>
      </c>
      <c r="K35" s="189">
        <v>1716304.38</v>
      </c>
      <c r="L35" s="167">
        <f t="shared" ref="L35:L44" si="15">ROUND(K35*N35,2)</f>
        <v>1201413.07</v>
      </c>
      <c r="M35" s="376">
        <f t="shared" ref="M35:M44" si="16">K35-L35</f>
        <v>514891.30999999982</v>
      </c>
      <c r="N35" s="131">
        <v>0.7</v>
      </c>
      <c r="O35" s="186">
        <v>0</v>
      </c>
      <c r="P35" s="188">
        <v>0</v>
      </c>
      <c r="Q35" s="180">
        <f t="shared" si="11"/>
        <v>1201413.07</v>
      </c>
      <c r="R35" s="186">
        <v>0</v>
      </c>
      <c r="S35" s="186">
        <v>0</v>
      </c>
      <c r="T35" s="186">
        <v>0</v>
      </c>
      <c r="U35" s="186">
        <v>0</v>
      </c>
      <c r="V35" s="186">
        <v>0</v>
      </c>
      <c r="W35" s="188">
        <v>0</v>
      </c>
      <c r="X35" s="188">
        <v>0</v>
      </c>
      <c r="Y35" s="296" t="b">
        <f t="shared" si="5"/>
        <v>1</v>
      </c>
      <c r="Z35" s="297">
        <f t="shared" si="6"/>
        <v>0.7</v>
      </c>
      <c r="AA35" s="298" t="b">
        <f t="shared" si="7"/>
        <v>1</v>
      </c>
      <c r="AB35" s="298" t="b">
        <f t="shared" si="8"/>
        <v>1</v>
      </c>
    </row>
    <row r="36" spans="1:28" s="32" customFormat="1" ht="34.5" customHeight="1" x14ac:dyDescent="0.25">
      <c r="A36" s="177">
        <v>34</v>
      </c>
      <c r="B36" s="148" t="s">
        <v>142</v>
      </c>
      <c r="C36" s="149" t="s">
        <v>52</v>
      </c>
      <c r="D36" s="150" t="s">
        <v>145</v>
      </c>
      <c r="E36" s="149">
        <v>1609132</v>
      </c>
      <c r="F36" s="149" t="s">
        <v>55</v>
      </c>
      <c r="G36" s="150" t="s">
        <v>233</v>
      </c>
      <c r="H36" s="149" t="s">
        <v>46</v>
      </c>
      <c r="I36" s="183">
        <v>0.52800000000000002</v>
      </c>
      <c r="J36" s="185" t="s">
        <v>284</v>
      </c>
      <c r="K36" s="189">
        <v>503396.06</v>
      </c>
      <c r="L36" s="167">
        <f t="shared" si="15"/>
        <v>302037.64</v>
      </c>
      <c r="M36" s="376">
        <f t="shared" si="16"/>
        <v>201358.41999999998</v>
      </c>
      <c r="N36" s="131">
        <v>0.6</v>
      </c>
      <c r="O36" s="186">
        <v>0</v>
      </c>
      <c r="P36" s="188">
        <v>0</v>
      </c>
      <c r="Q36" s="180">
        <f>L36</f>
        <v>302037.64</v>
      </c>
      <c r="R36" s="186">
        <v>0</v>
      </c>
      <c r="S36" s="186">
        <v>0</v>
      </c>
      <c r="T36" s="186">
        <v>0</v>
      </c>
      <c r="U36" s="186">
        <v>0</v>
      </c>
      <c r="V36" s="186">
        <v>0</v>
      </c>
      <c r="W36" s="188">
        <v>0</v>
      </c>
      <c r="X36" s="188">
        <v>0</v>
      </c>
      <c r="Y36" s="296" t="b">
        <f t="shared" si="5"/>
        <v>1</v>
      </c>
      <c r="Z36" s="297">
        <f t="shared" si="6"/>
        <v>0.6</v>
      </c>
      <c r="AA36" s="298" t="b">
        <f t="shared" si="7"/>
        <v>1</v>
      </c>
      <c r="AB36" s="298" t="b">
        <f t="shared" si="8"/>
        <v>1</v>
      </c>
    </row>
    <row r="37" spans="1:28" s="32" customFormat="1" ht="34.5" customHeight="1" x14ac:dyDescent="0.25">
      <c r="A37" s="261">
        <v>35</v>
      </c>
      <c r="B37" s="148" t="s">
        <v>141</v>
      </c>
      <c r="C37" s="149" t="s">
        <v>52</v>
      </c>
      <c r="D37" s="150" t="s">
        <v>122</v>
      </c>
      <c r="E37" s="149">
        <v>1607073</v>
      </c>
      <c r="F37" s="149" t="s">
        <v>45</v>
      </c>
      <c r="G37" s="150" t="s">
        <v>232</v>
      </c>
      <c r="H37" s="149" t="s">
        <v>272</v>
      </c>
      <c r="I37" s="183">
        <v>0.36499999999999999</v>
      </c>
      <c r="J37" s="185" t="s">
        <v>283</v>
      </c>
      <c r="K37" s="189">
        <v>164055.21</v>
      </c>
      <c r="L37" s="167">
        <f t="shared" si="15"/>
        <v>131244.17000000001</v>
      </c>
      <c r="M37" s="376">
        <f t="shared" si="16"/>
        <v>32811.039999999979</v>
      </c>
      <c r="N37" s="131">
        <v>0.8</v>
      </c>
      <c r="O37" s="186">
        <v>0</v>
      </c>
      <c r="P37" s="188">
        <v>0</v>
      </c>
      <c r="Q37" s="180">
        <f t="shared" si="11"/>
        <v>131244.17000000001</v>
      </c>
      <c r="R37" s="186">
        <v>0</v>
      </c>
      <c r="S37" s="186">
        <v>0</v>
      </c>
      <c r="T37" s="186">
        <v>0</v>
      </c>
      <c r="U37" s="186">
        <v>0</v>
      </c>
      <c r="V37" s="186">
        <v>0</v>
      </c>
      <c r="W37" s="188">
        <v>0</v>
      </c>
      <c r="X37" s="188">
        <v>0</v>
      </c>
      <c r="Y37" s="296" t="b">
        <f t="shared" si="5"/>
        <v>1</v>
      </c>
      <c r="Z37" s="297">
        <f t="shared" si="6"/>
        <v>0.8</v>
      </c>
      <c r="AA37" s="298" t="b">
        <f t="shared" si="7"/>
        <v>1</v>
      </c>
      <c r="AB37" s="298" t="b">
        <f t="shared" si="8"/>
        <v>1</v>
      </c>
    </row>
    <row r="38" spans="1:28" s="32" customFormat="1" ht="95.25" customHeight="1" x14ac:dyDescent="0.25">
      <c r="A38" s="177">
        <v>36</v>
      </c>
      <c r="B38" s="148" t="s">
        <v>177</v>
      </c>
      <c r="C38" s="153" t="s">
        <v>52</v>
      </c>
      <c r="D38" s="150" t="s">
        <v>180</v>
      </c>
      <c r="E38" s="149">
        <v>1609083</v>
      </c>
      <c r="F38" s="149" t="s">
        <v>55</v>
      </c>
      <c r="G38" s="150" t="s">
        <v>238</v>
      </c>
      <c r="H38" s="149" t="s">
        <v>270</v>
      </c>
      <c r="I38" s="183">
        <v>0.86499999999999999</v>
      </c>
      <c r="J38" s="154" t="s">
        <v>286</v>
      </c>
      <c r="K38" s="189">
        <v>2227322.2000000002</v>
      </c>
      <c r="L38" s="167">
        <f t="shared" si="15"/>
        <v>1559125.54</v>
      </c>
      <c r="M38" s="376">
        <f t="shared" si="16"/>
        <v>668196.66000000015</v>
      </c>
      <c r="N38" s="131">
        <v>0.7</v>
      </c>
      <c r="O38" s="186">
        <v>0</v>
      </c>
      <c r="P38" s="188">
        <v>0</v>
      </c>
      <c r="Q38" s="180">
        <f>L38</f>
        <v>1559125.54</v>
      </c>
      <c r="R38" s="186">
        <v>0</v>
      </c>
      <c r="S38" s="186">
        <v>0</v>
      </c>
      <c r="T38" s="186">
        <v>0</v>
      </c>
      <c r="U38" s="186">
        <v>0</v>
      </c>
      <c r="V38" s="186">
        <v>0</v>
      </c>
      <c r="W38" s="188">
        <v>0</v>
      </c>
      <c r="X38" s="188">
        <v>0</v>
      </c>
      <c r="Y38" s="296" t="b">
        <f t="shared" si="5"/>
        <v>1</v>
      </c>
      <c r="Z38" s="297">
        <f t="shared" si="6"/>
        <v>0.7</v>
      </c>
      <c r="AA38" s="298" t="b">
        <f t="shared" si="7"/>
        <v>1</v>
      </c>
      <c r="AB38" s="298" t="b">
        <f t="shared" si="8"/>
        <v>1</v>
      </c>
    </row>
    <row r="39" spans="1:28" s="32" customFormat="1" ht="35.25" customHeight="1" x14ac:dyDescent="0.25">
      <c r="A39" s="261">
        <v>37</v>
      </c>
      <c r="B39" s="148" t="s">
        <v>143</v>
      </c>
      <c r="C39" s="153" t="s">
        <v>52</v>
      </c>
      <c r="D39" s="150" t="s">
        <v>72</v>
      </c>
      <c r="E39" s="149">
        <v>1603062</v>
      </c>
      <c r="F39" s="149" t="s">
        <v>60</v>
      </c>
      <c r="G39" s="150" t="s">
        <v>239</v>
      </c>
      <c r="H39" s="149" t="s">
        <v>270</v>
      </c>
      <c r="I39" s="183">
        <v>0.40100000000000002</v>
      </c>
      <c r="J39" s="154" t="s">
        <v>282</v>
      </c>
      <c r="K39" s="189">
        <v>219186</v>
      </c>
      <c r="L39" s="167">
        <f t="shared" si="15"/>
        <v>153430.20000000001</v>
      </c>
      <c r="M39" s="376">
        <f t="shared" si="16"/>
        <v>65755.799999999988</v>
      </c>
      <c r="N39" s="131">
        <v>0.7</v>
      </c>
      <c r="O39" s="186">
        <v>0</v>
      </c>
      <c r="P39" s="188">
        <v>0</v>
      </c>
      <c r="Q39" s="180">
        <f>L39</f>
        <v>153430.20000000001</v>
      </c>
      <c r="R39" s="186">
        <v>0</v>
      </c>
      <c r="S39" s="186">
        <v>0</v>
      </c>
      <c r="T39" s="186">
        <v>0</v>
      </c>
      <c r="U39" s="186">
        <v>0</v>
      </c>
      <c r="V39" s="186">
        <v>0</v>
      </c>
      <c r="W39" s="188">
        <v>0</v>
      </c>
      <c r="X39" s="188">
        <v>0</v>
      </c>
      <c r="Y39" s="296" t="b">
        <f t="shared" si="5"/>
        <v>1</v>
      </c>
      <c r="Z39" s="297">
        <f t="shared" si="6"/>
        <v>0.7</v>
      </c>
      <c r="AA39" s="298" t="b">
        <f t="shared" si="7"/>
        <v>1</v>
      </c>
      <c r="AB39" s="298" t="b">
        <f t="shared" si="8"/>
        <v>1</v>
      </c>
    </row>
    <row r="40" spans="1:28" s="32" customFormat="1" ht="35.25" customHeight="1" x14ac:dyDescent="0.25">
      <c r="A40" s="177">
        <v>38</v>
      </c>
      <c r="B40" s="148" t="s">
        <v>144</v>
      </c>
      <c r="C40" s="149" t="s">
        <v>52</v>
      </c>
      <c r="D40" s="150" t="s">
        <v>76</v>
      </c>
      <c r="E40" s="149">
        <v>1605023</v>
      </c>
      <c r="F40" s="149" t="s">
        <v>59</v>
      </c>
      <c r="G40" s="150" t="s">
        <v>237</v>
      </c>
      <c r="H40" s="149" t="s">
        <v>46</v>
      </c>
      <c r="I40" s="183">
        <v>0.216</v>
      </c>
      <c r="J40" s="154" t="s">
        <v>271</v>
      </c>
      <c r="K40" s="189">
        <v>733318.05</v>
      </c>
      <c r="L40" s="167">
        <f t="shared" si="15"/>
        <v>439990.83</v>
      </c>
      <c r="M40" s="376">
        <f t="shared" si="16"/>
        <v>293327.22000000003</v>
      </c>
      <c r="N40" s="131">
        <v>0.6</v>
      </c>
      <c r="O40" s="186">
        <v>0</v>
      </c>
      <c r="P40" s="188">
        <v>0</v>
      </c>
      <c r="Q40" s="180">
        <f>L40</f>
        <v>439990.83</v>
      </c>
      <c r="R40" s="186">
        <v>0</v>
      </c>
      <c r="S40" s="186">
        <v>0</v>
      </c>
      <c r="T40" s="186">
        <v>0</v>
      </c>
      <c r="U40" s="186">
        <v>0</v>
      </c>
      <c r="V40" s="186">
        <v>0</v>
      </c>
      <c r="W40" s="188">
        <v>0</v>
      </c>
      <c r="X40" s="188">
        <v>0</v>
      </c>
      <c r="Y40" s="296" t="b">
        <f t="shared" si="5"/>
        <v>1</v>
      </c>
      <c r="Z40" s="297">
        <f t="shared" si="6"/>
        <v>0.6</v>
      </c>
      <c r="AA40" s="298" t="b">
        <f t="shared" si="7"/>
        <v>1</v>
      </c>
      <c r="AB40" s="298" t="b">
        <f t="shared" si="8"/>
        <v>1</v>
      </c>
    </row>
    <row r="41" spans="1:28" s="115" customFormat="1" ht="35.25" customHeight="1" x14ac:dyDescent="0.25">
      <c r="A41" s="261">
        <v>39</v>
      </c>
      <c r="B41" s="148" t="s">
        <v>148</v>
      </c>
      <c r="C41" s="149" t="s">
        <v>52</v>
      </c>
      <c r="D41" s="150" t="s">
        <v>146</v>
      </c>
      <c r="E41" s="149">
        <v>1602013</v>
      </c>
      <c r="F41" s="149" t="s">
        <v>83</v>
      </c>
      <c r="G41" s="150" t="s">
        <v>234</v>
      </c>
      <c r="H41" s="149" t="s">
        <v>46</v>
      </c>
      <c r="I41" s="183">
        <v>0.13700000000000001</v>
      </c>
      <c r="J41" s="154" t="s">
        <v>284</v>
      </c>
      <c r="K41" s="189">
        <v>254968.29</v>
      </c>
      <c r="L41" s="167">
        <f t="shared" si="15"/>
        <v>203974.63</v>
      </c>
      <c r="M41" s="376">
        <f t="shared" si="16"/>
        <v>50993.66</v>
      </c>
      <c r="N41" s="359">
        <v>0.8</v>
      </c>
      <c r="O41" s="186">
        <v>0</v>
      </c>
      <c r="P41" s="188">
        <v>0</v>
      </c>
      <c r="Q41" s="180">
        <f t="shared" si="11"/>
        <v>203974.63</v>
      </c>
      <c r="R41" s="186">
        <v>0</v>
      </c>
      <c r="S41" s="186">
        <v>0</v>
      </c>
      <c r="T41" s="186">
        <v>0</v>
      </c>
      <c r="U41" s="186">
        <v>0</v>
      </c>
      <c r="V41" s="186">
        <v>0</v>
      </c>
      <c r="W41" s="188">
        <v>0</v>
      </c>
      <c r="X41" s="188">
        <v>0</v>
      </c>
      <c r="Y41" s="296" t="b">
        <f t="shared" si="5"/>
        <v>1</v>
      </c>
      <c r="Z41" s="297">
        <f t="shared" si="6"/>
        <v>0.8</v>
      </c>
      <c r="AA41" s="298" t="b">
        <f t="shared" si="7"/>
        <v>1</v>
      </c>
      <c r="AB41" s="298" t="b">
        <f t="shared" si="8"/>
        <v>1</v>
      </c>
    </row>
    <row r="42" spans="1:28" s="32" customFormat="1" ht="30" customHeight="1" x14ac:dyDescent="0.25">
      <c r="A42" s="177">
        <v>40</v>
      </c>
      <c r="B42" s="148" t="s">
        <v>174</v>
      </c>
      <c r="C42" s="149" t="s">
        <v>52</v>
      </c>
      <c r="D42" s="150" t="s">
        <v>108</v>
      </c>
      <c r="E42" s="149">
        <v>1609022</v>
      </c>
      <c r="F42" s="149" t="s">
        <v>55</v>
      </c>
      <c r="G42" s="150" t="s">
        <v>235</v>
      </c>
      <c r="H42" s="149" t="s">
        <v>46</v>
      </c>
      <c r="I42" s="183">
        <v>0.52500000000000002</v>
      </c>
      <c r="J42" s="154" t="s">
        <v>286</v>
      </c>
      <c r="K42" s="190">
        <v>1340605.72</v>
      </c>
      <c r="L42" s="167">
        <f t="shared" si="15"/>
        <v>804363.43</v>
      </c>
      <c r="M42" s="376">
        <f t="shared" si="16"/>
        <v>536242.28999999992</v>
      </c>
      <c r="N42" s="131">
        <v>0.6</v>
      </c>
      <c r="O42" s="186">
        <v>0</v>
      </c>
      <c r="P42" s="188">
        <v>0</v>
      </c>
      <c r="Q42" s="180">
        <f t="shared" si="11"/>
        <v>804363.43</v>
      </c>
      <c r="R42" s="186">
        <v>0</v>
      </c>
      <c r="S42" s="186">
        <v>0</v>
      </c>
      <c r="T42" s="186">
        <v>0</v>
      </c>
      <c r="U42" s="186">
        <v>0</v>
      </c>
      <c r="V42" s="186">
        <v>0</v>
      </c>
      <c r="W42" s="188">
        <v>0</v>
      </c>
      <c r="X42" s="188">
        <v>0</v>
      </c>
      <c r="Y42" s="296" t="b">
        <f t="shared" si="5"/>
        <v>1</v>
      </c>
      <c r="Z42" s="297">
        <f t="shared" si="6"/>
        <v>0.6</v>
      </c>
      <c r="AA42" s="298" t="b">
        <f t="shared" si="7"/>
        <v>1</v>
      </c>
      <c r="AB42" s="298" t="b">
        <f t="shared" si="8"/>
        <v>1</v>
      </c>
    </row>
    <row r="43" spans="1:28" s="32" customFormat="1" ht="35.25" customHeight="1" x14ac:dyDescent="0.25">
      <c r="A43" s="261">
        <v>41</v>
      </c>
      <c r="B43" s="191" t="s">
        <v>147</v>
      </c>
      <c r="C43" s="143" t="s">
        <v>52</v>
      </c>
      <c r="D43" s="144" t="s">
        <v>72</v>
      </c>
      <c r="E43" s="193">
        <v>1603062</v>
      </c>
      <c r="F43" s="149" t="s">
        <v>60</v>
      </c>
      <c r="G43" s="144" t="s">
        <v>240</v>
      </c>
      <c r="H43" s="193" t="s">
        <v>46</v>
      </c>
      <c r="I43" s="194">
        <v>0.32700000000000001</v>
      </c>
      <c r="J43" s="386" t="s">
        <v>282</v>
      </c>
      <c r="K43" s="387">
        <v>307606.14</v>
      </c>
      <c r="L43" s="145">
        <f t="shared" si="15"/>
        <v>215324.3</v>
      </c>
      <c r="M43" s="376">
        <f t="shared" si="16"/>
        <v>92281.840000000026</v>
      </c>
      <c r="N43" s="260">
        <v>0.7</v>
      </c>
      <c r="O43" s="186">
        <v>0</v>
      </c>
      <c r="P43" s="188">
        <v>0</v>
      </c>
      <c r="Q43" s="146">
        <f>L43</f>
        <v>215324.3</v>
      </c>
      <c r="R43" s="186">
        <v>0</v>
      </c>
      <c r="S43" s="186">
        <v>0</v>
      </c>
      <c r="T43" s="186">
        <v>0</v>
      </c>
      <c r="U43" s="186">
        <v>0</v>
      </c>
      <c r="V43" s="186">
        <v>0</v>
      </c>
      <c r="W43" s="188">
        <v>0</v>
      </c>
      <c r="X43" s="188">
        <v>0</v>
      </c>
      <c r="Y43" s="296" t="b">
        <f t="shared" si="5"/>
        <v>1</v>
      </c>
      <c r="Z43" s="297">
        <f t="shared" si="6"/>
        <v>0.7</v>
      </c>
      <c r="AA43" s="298" t="b">
        <f t="shared" si="7"/>
        <v>1</v>
      </c>
      <c r="AB43" s="298" t="b">
        <f t="shared" si="8"/>
        <v>1</v>
      </c>
    </row>
    <row r="44" spans="1:28" s="32" customFormat="1" ht="35.25" customHeight="1" x14ac:dyDescent="0.25">
      <c r="A44" s="177">
        <v>42</v>
      </c>
      <c r="B44" s="148" t="s">
        <v>168</v>
      </c>
      <c r="C44" s="149" t="s">
        <v>52</v>
      </c>
      <c r="D44" s="150" t="s">
        <v>70</v>
      </c>
      <c r="E44" s="149">
        <v>1609032</v>
      </c>
      <c r="F44" s="149" t="s">
        <v>55</v>
      </c>
      <c r="G44" s="150" t="s">
        <v>236</v>
      </c>
      <c r="H44" s="149" t="s">
        <v>270</v>
      </c>
      <c r="I44" s="183">
        <v>0.40699999999999997</v>
      </c>
      <c r="J44" s="154" t="s">
        <v>344</v>
      </c>
      <c r="K44" s="189">
        <v>602442.81999999995</v>
      </c>
      <c r="L44" s="167">
        <f t="shared" si="15"/>
        <v>361465.69</v>
      </c>
      <c r="M44" s="376">
        <f t="shared" si="16"/>
        <v>240977.12999999995</v>
      </c>
      <c r="N44" s="131">
        <v>0.6</v>
      </c>
      <c r="O44" s="186">
        <v>0</v>
      </c>
      <c r="P44" s="188">
        <v>0</v>
      </c>
      <c r="Q44" s="180">
        <f t="shared" si="11"/>
        <v>361465.69</v>
      </c>
      <c r="R44" s="186">
        <v>0</v>
      </c>
      <c r="S44" s="186">
        <v>0</v>
      </c>
      <c r="T44" s="186">
        <v>0</v>
      </c>
      <c r="U44" s="186">
        <v>0</v>
      </c>
      <c r="V44" s="186">
        <v>0</v>
      </c>
      <c r="W44" s="188">
        <v>0</v>
      </c>
      <c r="X44" s="188">
        <v>0</v>
      </c>
      <c r="Y44" s="296" t="b">
        <f t="shared" si="5"/>
        <v>1</v>
      </c>
      <c r="Z44" s="297">
        <f t="shared" si="6"/>
        <v>0.6</v>
      </c>
      <c r="AA44" s="298" t="b">
        <f t="shared" si="7"/>
        <v>1</v>
      </c>
      <c r="AB44" s="298" t="b">
        <f t="shared" si="8"/>
        <v>1</v>
      </c>
    </row>
    <row r="45" spans="1:28" s="32" customFormat="1" ht="35.25" customHeight="1" x14ac:dyDescent="0.25">
      <c r="A45" s="261">
        <v>43</v>
      </c>
      <c r="B45" s="148" t="s">
        <v>150</v>
      </c>
      <c r="C45" s="149" t="s">
        <v>52</v>
      </c>
      <c r="D45" s="150" t="s">
        <v>54</v>
      </c>
      <c r="E45" s="149">
        <v>1609052</v>
      </c>
      <c r="F45" s="149" t="s">
        <v>55</v>
      </c>
      <c r="G45" s="150" t="s">
        <v>242</v>
      </c>
      <c r="H45" s="149" t="s">
        <v>46</v>
      </c>
      <c r="I45" s="183">
        <v>0.30399999999999999</v>
      </c>
      <c r="J45" s="378" t="s">
        <v>271</v>
      </c>
      <c r="K45" s="167">
        <v>908905.36</v>
      </c>
      <c r="L45" s="167">
        <f t="shared" ref="L45:L54" si="17">ROUND(K45*N45,2)</f>
        <v>545343.22</v>
      </c>
      <c r="M45" s="167">
        <f t="shared" ref="M45:M54" si="18">K45-L45</f>
        <v>363562.14</v>
      </c>
      <c r="N45" s="131">
        <v>0.6</v>
      </c>
      <c r="O45" s="186">
        <v>0</v>
      </c>
      <c r="P45" s="188">
        <v>0</v>
      </c>
      <c r="Q45" s="180">
        <f t="shared" ref="Q45:Q54" si="19">L45</f>
        <v>545343.22</v>
      </c>
      <c r="R45" s="186">
        <v>0</v>
      </c>
      <c r="S45" s="186">
        <v>0</v>
      </c>
      <c r="T45" s="186">
        <v>0</v>
      </c>
      <c r="U45" s="186">
        <v>0</v>
      </c>
      <c r="V45" s="186">
        <v>0</v>
      </c>
      <c r="W45" s="188">
        <v>0</v>
      </c>
      <c r="X45" s="188">
        <v>0</v>
      </c>
      <c r="Y45" s="296" t="b">
        <f t="shared" si="5"/>
        <v>1</v>
      </c>
      <c r="Z45" s="297">
        <f t="shared" si="6"/>
        <v>0.6</v>
      </c>
      <c r="AA45" s="298" t="b">
        <f t="shared" si="7"/>
        <v>1</v>
      </c>
      <c r="AB45" s="298" t="b">
        <f t="shared" si="8"/>
        <v>1</v>
      </c>
    </row>
    <row r="46" spans="1:28" s="32" customFormat="1" ht="27.75" customHeight="1" x14ac:dyDescent="0.25">
      <c r="A46" s="177">
        <v>44</v>
      </c>
      <c r="B46" s="142" t="s">
        <v>149</v>
      </c>
      <c r="C46" s="143" t="s">
        <v>52</v>
      </c>
      <c r="D46" s="144" t="s">
        <v>53</v>
      </c>
      <c r="E46" s="168">
        <v>1601011</v>
      </c>
      <c r="F46" s="168" t="s">
        <v>48</v>
      </c>
      <c r="G46" s="254" t="s">
        <v>241</v>
      </c>
      <c r="H46" s="169" t="s">
        <v>272</v>
      </c>
      <c r="I46" s="169">
        <v>0.26100000000000001</v>
      </c>
      <c r="J46" s="211" t="s">
        <v>286</v>
      </c>
      <c r="K46" s="387">
        <v>788639.28</v>
      </c>
      <c r="L46" s="167">
        <f t="shared" si="17"/>
        <v>552047.5</v>
      </c>
      <c r="M46" s="167">
        <f t="shared" si="18"/>
        <v>236591.78000000003</v>
      </c>
      <c r="N46" s="131">
        <v>0.7</v>
      </c>
      <c r="O46" s="186">
        <v>0</v>
      </c>
      <c r="P46" s="188">
        <v>0</v>
      </c>
      <c r="Q46" s="180">
        <f t="shared" si="19"/>
        <v>552047.5</v>
      </c>
      <c r="R46" s="186">
        <v>0</v>
      </c>
      <c r="S46" s="186">
        <v>0</v>
      </c>
      <c r="T46" s="186">
        <v>0</v>
      </c>
      <c r="U46" s="186">
        <v>0</v>
      </c>
      <c r="V46" s="186">
        <v>0</v>
      </c>
      <c r="W46" s="188">
        <v>0</v>
      </c>
      <c r="X46" s="188">
        <v>0</v>
      </c>
      <c r="Y46" s="296" t="b">
        <f t="shared" si="5"/>
        <v>1</v>
      </c>
      <c r="Z46" s="297">
        <f t="shared" si="6"/>
        <v>0.7</v>
      </c>
      <c r="AA46" s="298" t="b">
        <f t="shared" si="7"/>
        <v>1</v>
      </c>
      <c r="AB46" s="298" t="b">
        <f t="shared" si="8"/>
        <v>1</v>
      </c>
    </row>
    <row r="47" spans="1:28" s="32" customFormat="1" ht="35.25" customHeight="1" x14ac:dyDescent="0.25">
      <c r="A47" s="261">
        <v>45</v>
      </c>
      <c r="B47" s="148" t="s">
        <v>151</v>
      </c>
      <c r="C47" s="149" t="s">
        <v>52</v>
      </c>
      <c r="D47" s="150" t="s">
        <v>69</v>
      </c>
      <c r="E47" s="149">
        <v>1606042</v>
      </c>
      <c r="F47" s="149" t="s">
        <v>58</v>
      </c>
      <c r="G47" s="150" t="s">
        <v>244</v>
      </c>
      <c r="H47" s="149" t="s">
        <v>46</v>
      </c>
      <c r="I47" s="168">
        <v>0.22800000000000001</v>
      </c>
      <c r="J47" s="211" t="s">
        <v>282</v>
      </c>
      <c r="K47" s="167">
        <v>267688.8</v>
      </c>
      <c r="L47" s="167">
        <f t="shared" si="17"/>
        <v>187382.16</v>
      </c>
      <c r="M47" s="167">
        <f t="shared" si="18"/>
        <v>80306.639999999985</v>
      </c>
      <c r="N47" s="131">
        <v>0.7</v>
      </c>
      <c r="O47" s="186">
        <v>0</v>
      </c>
      <c r="P47" s="188">
        <v>0</v>
      </c>
      <c r="Q47" s="180">
        <f t="shared" si="19"/>
        <v>187382.16</v>
      </c>
      <c r="R47" s="186">
        <v>0</v>
      </c>
      <c r="S47" s="186">
        <v>0</v>
      </c>
      <c r="T47" s="186">
        <v>0</v>
      </c>
      <c r="U47" s="186">
        <v>0</v>
      </c>
      <c r="V47" s="186">
        <v>0</v>
      </c>
      <c r="W47" s="188">
        <v>0</v>
      </c>
      <c r="X47" s="188">
        <v>0</v>
      </c>
      <c r="Y47" s="296" t="b">
        <f t="shared" si="5"/>
        <v>1</v>
      </c>
      <c r="Z47" s="297">
        <f t="shared" si="6"/>
        <v>0.7</v>
      </c>
      <c r="AA47" s="298" t="b">
        <f t="shared" si="7"/>
        <v>1</v>
      </c>
      <c r="AB47" s="298" t="b">
        <f t="shared" si="8"/>
        <v>1</v>
      </c>
    </row>
    <row r="48" spans="1:28" s="32" customFormat="1" ht="35.25" customHeight="1" x14ac:dyDescent="0.25">
      <c r="A48" s="177">
        <v>46</v>
      </c>
      <c r="B48" s="148" t="s">
        <v>152</v>
      </c>
      <c r="C48" s="149" t="s">
        <v>52</v>
      </c>
      <c r="D48" s="150" t="s">
        <v>75</v>
      </c>
      <c r="E48" s="149">
        <v>1608043</v>
      </c>
      <c r="F48" s="149" t="s">
        <v>56</v>
      </c>
      <c r="G48" s="151" t="s">
        <v>243</v>
      </c>
      <c r="H48" s="149" t="s">
        <v>46</v>
      </c>
      <c r="I48" s="168">
        <v>0.16500000000000001</v>
      </c>
      <c r="J48" s="211" t="s">
        <v>271</v>
      </c>
      <c r="K48" s="167">
        <v>553981.79</v>
      </c>
      <c r="L48" s="167">
        <f t="shared" si="17"/>
        <v>443185.43</v>
      </c>
      <c r="M48" s="167">
        <f t="shared" si="18"/>
        <v>110796.36000000004</v>
      </c>
      <c r="N48" s="131">
        <v>0.8</v>
      </c>
      <c r="O48" s="186">
        <v>0</v>
      </c>
      <c r="P48" s="188">
        <v>0</v>
      </c>
      <c r="Q48" s="180">
        <f t="shared" si="19"/>
        <v>443185.43</v>
      </c>
      <c r="R48" s="186">
        <v>0</v>
      </c>
      <c r="S48" s="186">
        <v>0</v>
      </c>
      <c r="T48" s="186">
        <v>0</v>
      </c>
      <c r="U48" s="186">
        <v>0</v>
      </c>
      <c r="V48" s="186">
        <v>0</v>
      </c>
      <c r="W48" s="188">
        <v>0</v>
      </c>
      <c r="X48" s="188">
        <v>0</v>
      </c>
      <c r="Y48" s="296" t="b">
        <f t="shared" si="5"/>
        <v>1</v>
      </c>
      <c r="Z48" s="297">
        <f t="shared" si="6"/>
        <v>0.8</v>
      </c>
      <c r="AA48" s="298" t="b">
        <f t="shared" si="7"/>
        <v>1</v>
      </c>
      <c r="AB48" s="298" t="b">
        <f t="shared" si="8"/>
        <v>1</v>
      </c>
    </row>
    <row r="49" spans="1:28" s="32" customFormat="1" ht="44.25" customHeight="1" x14ac:dyDescent="0.25">
      <c r="A49" s="261">
        <v>47</v>
      </c>
      <c r="B49" s="148" t="s">
        <v>153</v>
      </c>
      <c r="C49" s="149" t="s">
        <v>52</v>
      </c>
      <c r="D49" s="150" t="s">
        <v>68</v>
      </c>
      <c r="E49" s="149">
        <v>1609092</v>
      </c>
      <c r="F49" s="149" t="s">
        <v>55</v>
      </c>
      <c r="G49" s="150" t="s">
        <v>245</v>
      </c>
      <c r="H49" s="149" t="s">
        <v>46</v>
      </c>
      <c r="I49" s="168">
        <v>0.20499999999999999</v>
      </c>
      <c r="J49" s="211" t="s">
        <v>277</v>
      </c>
      <c r="K49" s="167">
        <v>326768.40000000002</v>
      </c>
      <c r="L49" s="167">
        <f t="shared" si="17"/>
        <v>228737.88</v>
      </c>
      <c r="M49" s="167">
        <f t="shared" si="18"/>
        <v>98030.520000000019</v>
      </c>
      <c r="N49" s="131">
        <v>0.7</v>
      </c>
      <c r="O49" s="186">
        <v>0</v>
      </c>
      <c r="P49" s="188">
        <v>0</v>
      </c>
      <c r="Q49" s="180">
        <f t="shared" si="19"/>
        <v>228737.88</v>
      </c>
      <c r="R49" s="186">
        <v>0</v>
      </c>
      <c r="S49" s="186">
        <v>0</v>
      </c>
      <c r="T49" s="186">
        <v>0</v>
      </c>
      <c r="U49" s="186">
        <v>0</v>
      </c>
      <c r="V49" s="186">
        <v>0</v>
      </c>
      <c r="W49" s="188">
        <v>0</v>
      </c>
      <c r="X49" s="188">
        <v>0</v>
      </c>
      <c r="Y49" s="296" t="b">
        <f t="shared" si="5"/>
        <v>1</v>
      </c>
      <c r="Z49" s="297">
        <f t="shared" si="6"/>
        <v>0.7</v>
      </c>
      <c r="AA49" s="298" t="b">
        <f t="shared" si="7"/>
        <v>1</v>
      </c>
      <c r="AB49" s="298" t="b">
        <f t="shared" si="8"/>
        <v>1</v>
      </c>
    </row>
    <row r="50" spans="1:28" s="32" customFormat="1" ht="44.25" customHeight="1" x14ac:dyDescent="0.25">
      <c r="A50" s="177">
        <v>48</v>
      </c>
      <c r="B50" s="148" t="s">
        <v>154</v>
      </c>
      <c r="C50" s="153" t="s">
        <v>52</v>
      </c>
      <c r="D50" s="150" t="s">
        <v>72</v>
      </c>
      <c r="E50" s="149">
        <v>1603062</v>
      </c>
      <c r="F50" s="149" t="s">
        <v>60</v>
      </c>
      <c r="G50" s="151" t="s">
        <v>266</v>
      </c>
      <c r="H50" s="149" t="s">
        <v>272</v>
      </c>
      <c r="I50" s="168">
        <v>1.698</v>
      </c>
      <c r="J50" s="211" t="s">
        <v>281</v>
      </c>
      <c r="K50" s="167">
        <v>923995.18</v>
      </c>
      <c r="L50" s="167">
        <f t="shared" si="17"/>
        <v>646796.63</v>
      </c>
      <c r="M50" s="167">
        <f t="shared" si="18"/>
        <v>277198.55000000005</v>
      </c>
      <c r="N50" s="131">
        <v>0.7</v>
      </c>
      <c r="O50" s="186">
        <v>0</v>
      </c>
      <c r="P50" s="188">
        <v>0</v>
      </c>
      <c r="Q50" s="180">
        <f t="shared" si="19"/>
        <v>646796.63</v>
      </c>
      <c r="R50" s="186">
        <v>0</v>
      </c>
      <c r="S50" s="186">
        <v>0</v>
      </c>
      <c r="T50" s="186">
        <v>0</v>
      </c>
      <c r="U50" s="186">
        <v>0</v>
      </c>
      <c r="V50" s="186">
        <v>0</v>
      </c>
      <c r="W50" s="188">
        <v>0</v>
      </c>
      <c r="X50" s="188">
        <v>0</v>
      </c>
      <c r="Y50" s="296" t="b">
        <f t="shared" si="5"/>
        <v>1</v>
      </c>
      <c r="Z50" s="297">
        <f t="shared" si="6"/>
        <v>0.7</v>
      </c>
      <c r="AA50" s="298" t="b">
        <f t="shared" si="7"/>
        <v>1</v>
      </c>
      <c r="AB50" s="298" t="b">
        <f t="shared" si="8"/>
        <v>1</v>
      </c>
    </row>
    <row r="51" spans="1:28" s="363" customFormat="1" ht="44.25" customHeight="1" x14ac:dyDescent="0.25">
      <c r="A51" s="355">
        <v>49</v>
      </c>
      <c r="B51" s="356" t="s">
        <v>338</v>
      </c>
      <c r="C51" s="357" t="s">
        <v>52</v>
      </c>
      <c r="D51" s="150" t="s">
        <v>330</v>
      </c>
      <c r="E51" s="139">
        <v>1602022</v>
      </c>
      <c r="F51" s="139" t="s">
        <v>83</v>
      </c>
      <c r="G51" s="152" t="s">
        <v>331</v>
      </c>
      <c r="H51" s="139" t="s">
        <v>46</v>
      </c>
      <c r="I51" s="358">
        <v>0.31940000000000002</v>
      </c>
      <c r="J51" s="379" t="s">
        <v>329</v>
      </c>
      <c r="K51" s="167">
        <v>261145.86</v>
      </c>
      <c r="L51" s="167">
        <f>ROUND(K51*N51,2)</f>
        <v>130572.93</v>
      </c>
      <c r="M51" s="167">
        <f>K51-L51</f>
        <v>130572.93</v>
      </c>
      <c r="N51" s="359">
        <v>0.5</v>
      </c>
      <c r="O51" s="360">
        <v>0</v>
      </c>
      <c r="P51" s="361">
        <v>0</v>
      </c>
      <c r="Q51" s="362">
        <f>L51</f>
        <v>130572.93</v>
      </c>
      <c r="R51" s="360">
        <v>0</v>
      </c>
      <c r="S51" s="360">
        <v>0</v>
      </c>
      <c r="T51" s="360">
        <v>0</v>
      </c>
      <c r="U51" s="360">
        <v>0</v>
      </c>
      <c r="V51" s="360">
        <v>0</v>
      </c>
      <c r="W51" s="361">
        <v>0</v>
      </c>
      <c r="X51" s="361">
        <v>0</v>
      </c>
      <c r="Y51" s="296" t="b">
        <f t="shared" si="5"/>
        <v>1</v>
      </c>
      <c r="Z51" s="297">
        <f t="shared" si="6"/>
        <v>0.5</v>
      </c>
      <c r="AA51" s="298" t="b">
        <f t="shared" si="7"/>
        <v>1</v>
      </c>
      <c r="AB51" s="298" t="b">
        <f t="shared" si="8"/>
        <v>1</v>
      </c>
    </row>
    <row r="52" spans="1:28" s="363" customFormat="1" ht="44.25" customHeight="1" x14ac:dyDescent="0.25">
      <c r="A52" s="355">
        <v>50</v>
      </c>
      <c r="B52" s="356" t="s">
        <v>339</v>
      </c>
      <c r="C52" s="357" t="s">
        <v>52</v>
      </c>
      <c r="D52" s="150" t="s">
        <v>330</v>
      </c>
      <c r="E52" s="139">
        <v>1602022</v>
      </c>
      <c r="F52" s="139" t="s">
        <v>83</v>
      </c>
      <c r="G52" s="152" t="s">
        <v>332</v>
      </c>
      <c r="H52" s="139" t="s">
        <v>46</v>
      </c>
      <c r="I52" s="358">
        <v>0.16139999999999999</v>
      </c>
      <c r="J52" s="379" t="s">
        <v>329</v>
      </c>
      <c r="K52" s="167">
        <v>330897.75</v>
      </c>
      <c r="L52" s="167">
        <f>ROUND(K52*N52,2)</f>
        <v>165448.88</v>
      </c>
      <c r="M52" s="167">
        <f>K52-L52</f>
        <v>165448.87</v>
      </c>
      <c r="N52" s="359">
        <v>0.5</v>
      </c>
      <c r="O52" s="360">
        <v>0</v>
      </c>
      <c r="P52" s="360">
        <v>0</v>
      </c>
      <c r="Q52" s="362">
        <f>L52</f>
        <v>165448.88</v>
      </c>
      <c r="R52" s="360">
        <v>0</v>
      </c>
      <c r="S52" s="360">
        <v>0</v>
      </c>
      <c r="T52" s="360">
        <v>0</v>
      </c>
      <c r="U52" s="360">
        <v>0</v>
      </c>
      <c r="V52" s="360">
        <v>0</v>
      </c>
      <c r="W52" s="361">
        <v>0</v>
      </c>
      <c r="X52" s="361">
        <v>0</v>
      </c>
      <c r="Y52" s="296" t="b">
        <f t="shared" si="5"/>
        <v>1</v>
      </c>
      <c r="Z52" s="297">
        <f t="shared" si="6"/>
        <v>0.5</v>
      </c>
      <c r="AA52" s="298" t="b">
        <f t="shared" si="7"/>
        <v>1</v>
      </c>
      <c r="AB52" s="298" t="b">
        <f t="shared" si="8"/>
        <v>1</v>
      </c>
    </row>
    <row r="53" spans="1:28" s="363" customFormat="1" ht="44.25" customHeight="1" x14ac:dyDescent="0.25">
      <c r="A53" s="355">
        <v>51</v>
      </c>
      <c r="B53" s="356" t="s">
        <v>185</v>
      </c>
      <c r="C53" s="357" t="s">
        <v>52</v>
      </c>
      <c r="D53" s="150" t="s">
        <v>187</v>
      </c>
      <c r="E53" s="139">
        <v>1610032</v>
      </c>
      <c r="F53" s="139" t="s">
        <v>49</v>
      </c>
      <c r="G53" s="152" t="s">
        <v>252</v>
      </c>
      <c r="H53" s="139" t="s">
        <v>272</v>
      </c>
      <c r="I53" s="358">
        <v>0.75800000000000001</v>
      </c>
      <c r="J53" s="379" t="s">
        <v>277</v>
      </c>
      <c r="K53" s="253">
        <v>407319.1</v>
      </c>
      <c r="L53" s="167">
        <f t="shared" si="17"/>
        <v>285123.37</v>
      </c>
      <c r="M53" s="167">
        <f t="shared" si="18"/>
        <v>122195.72999999998</v>
      </c>
      <c r="N53" s="359">
        <v>0.7</v>
      </c>
      <c r="O53" s="360">
        <v>0</v>
      </c>
      <c r="P53" s="360">
        <v>0</v>
      </c>
      <c r="Q53" s="364">
        <f t="shared" si="19"/>
        <v>285123.37</v>
      </c>
      <c r="R53" s="360">
        <v>0</v>
      </c>
      <c r="S53" s="360">
        <v>0</v>
      </c>
      <c r="T53" s="360">
        <v>0</v>
      </c>
      <c r="U53" s="360">
        <v>0</v>
      </c>
      <c r="V53" s="360">
        <v>0</v>
      </c>
      <c r="W53" s="361">
        <v>0</v>
      </c>
      <c r="X53" s="361">
        <v>0</v>
      </c>
      <c r="Y53" s="296" t="b">
        <f t="shared" si="5"/>
        <v>1</v>
      </c>
      <c r="Z53" s="297">
        <f t="shared" si="6"/>
        <v>0.7</v>
      </c>
      <c r="AA53" s="298" t="b">
        <f t="shared" si="7"/>
        <v>1</v>
      </c>
      <c r="AB53" s="298" t="b">
        <f t="shared" si="8"/>
        <v>1</v>
      </c>
    </row>
    <row r="54" spans="1:28" s="32" customFormat="1" ht="44.25" customHeight="1" x14ac:dyDescent="0.25">
      <c r="A54" s="373">
        <v>52</v>
      </c>
      <c r="B54" s="148" t="s">
        <v>155</v>
      </c>
      <c r="C54" s="149" t="s">
        <v>52</v>
      </c>
      <c r="D54" s="150" t="s">
        <v>156</v>
      </c>
      <c r="E54" s="149">
        <v>1601043</v>
      </c>
      <c r="F54" s="149" t="s">
        <v>48</v>
      </c>
      <c r="G54" s="150" t="s">
        <v>246</v>
      </c>
      <c r="H54" s="149" t="s">
        <v>46</v>
      </c>
      <c r="I54" s="168">
        <v>0.97799999999999998</v>
      </c>
      <c r="J54" s="211" t="s">
        <v>350</v>
      </c>
      <c r="K54" s="253">
        <v>712202.88</v>
      </c>
      <c r="L54" s="167">
        <f t="shared" si="17"/>
        <v>498542.02</v>
      </c>
      <c r="M54" s="167">
        <f t="shared" si="18"/>
        <v>213660.86</v>
      </c>
      <c r="N54" s="131">
        <v>0.7</v>
      </c>
      <c r="O54" s="186">
        <v>0</v>
      </c>
      <c r="P54" s="188">
        <v>0</v>
      </c>
      <c r="Q54" s="364">
        <f t="shared" si="19"/>
        <v>498542.02</v>
      </c>
      <c r="R54" s="188">
        <v>0</v>
      </c>
      <c r="S54" s="186">
        <v>0</v>
      </c>
      <c r="T54" s="186">
        <v>0</v>
      </c>
      <c r="U54" s="186">
        <v>0</v>
      </c>
      <c r="V54" s="186">
        <v>0</v>
      </c>
      <c r="W54" s="188">
        <v>0</v>
      </c>
      <c r="X54" s="188">
        <v>0</v>
      </c>
      <c r="Y54" s="296" t="b">
        <f t="shared" si="5"/>
        <v>1</v>
      </c>
      <c r="Z54" s="297">
        <f t="shared" si="6"/>
        <v>0.7</v>
      </c>
      <c r="AA54" s="298" t="b">
        <f t="shared" si="7"/>
        <v>1</v>
      </c>
      <c r="AB54" s="298" t="b">
        <f t="shared" si="8"/>
        <v>1</v>
      </c>
    </row>
    <row r="55" spans="1:28" s="8" customFormat="1" ht="39.950000000000003" customHeight="1" x14ac:dyDescent="0.25">
      <c r="A55" s="141">
        <v>53</v>
      </c>
      <c r="B55" s="150" t="s">
        <v>345</v>
      </c>
      <c r="C55" s="153" t="s">
        <v>52</v>
      </c>
      <c r="D55" s="150" t="s">
        <v>158</v>
      </c>
      <c r="E55" s="149">
        <v>1608052</v>
      </c>
      <c r="F55" s="149" t="s">
        <v>56</v>
      </c>
      <c r="G55" s="254" t="s">
        <v>248</v>
      </c>
      <c r="H55" s="149" t="s">
        <v>46</v>
      </c>
      <c r="I55" s="171">
        <v>0.94</v>
      </c>
      <c r="J55" s="379" t="s">
        <v>287</v>
      </c>
      <c r="K55" s="253">
        <v>893674.1</v>
      </c>
      <c r="L55" s="167">
        <f>ROUND(K55*N55,2)</f>
        <v>625571.87</v>
      </c>
      <c r="M55" s="167">
        <f>K55-L55</f>
        <v>268102.23</v>
      </c>
      <c r="N55" s="131">
        <v>0.7</v>
      </c>
      <c r="O55" s="186">
        <v>0</v>
      </c>
      <c r="P55" s="186">
        <v>0</v>
      </c>
      <c r="Q55" s="237">
        <f t="shared" ref="Q55:Q58" si="20">L55</f>
        <v>625571.87</v>
      </c>
      <c r="R55" s="186">
        <v>0</v>
      </c>
      <c r="S55" s="186">
        <v>0</v>
      </c>
      <c r="T55" s="186">
        <v>0</v>
      </c>
      <c r="U55" s="186">
        <v>0</v>
      </c>
      <c r="V55" s="186">
        <v>0</v>
      </c>
      <c r="W55" s="188">
        <v>0</v>
      </c>
      <c r="X55" s="188">
        <v>0</v>
      </c>
      <c r="Y55" s="296" t="b">
        <f t="shared" ref="Y55" si="21">L55=SUM(O55:X55)</f>
        <v>1</v>
      </c>
      <c r="Z55" s="297">
        <f t="shared" si="6"/>
        <v>0.7</v>
      </c>
      <c r="AA55" s="298" t="b">
        <f t="shared" si="7"/>
        <v>1</v>
      </c>
      <c r="AB55" s="298" t="b">
        <f t="shared" si="8"/>
        <v>1</v>
      </c>
    </row>
    <row r="56" spans="1:28" s="8" customFormat="1" ht="39.950000000000003" customHeight="1" x14ac:dyDescent="0.25">
      <c r="A56" s="141">
        <v>54</v>
      </c>
      <c r="B56" s="150" t="s">
        <v>346</v>
      </c>
      <c r="C56" s="149" t="s">
        <v>52</v>
      </c>
      <c r="D56" s="150" t="s">
        <v>165</v>
      </c>
      <c r="E56" s="149">
        <v>1611033</v>
      </c>
      <c r="F56" s="149" t="s">
        <v>57</v>
      </c>
      <c r="G56" s="150" t="s">
        <v>247</v>
      </c>
      <c r="H56" s="149" t="s">
        <v>46</v>
      </c>
      <c r="I56" s="171">
        <v>0.62</v>
      </c>
      <c r="J56" s="379" t="s">
        <v>287</v>
      </c>
      <c r="K56" s="167">
        <v>1599297.36</v>
      </c>
      <c r="L56" s="167">
        <f t="shared" ref="L56:L58" si="22">ROUND(K56*N56,2)</f>
        <v>1119508.1499999999</v>
      </c>
      <c r="M56" s="167">
        <f t="shared" ref="M56:M59" si="23">K56-L56</f>
        <v>479789.2100000002</v>
      </c>
      <c r="N56" s="131">
        <v>0.7</v>
      </c>
      <c r="O56" s="186">
        <v>0</v>
      </c>
      <c r="P56" s="186">
        <v>0</v>
      </c>
      <c r="Q56" s="237">
        <f t="shared" si="20"/>
        <v>1119508.1499999999</v>
      </c>
      <c r="R56" s="186">
        <v>0</v>
      </c>
      <c r="S56" s="186">
        <v>0</v>
      </c>
      <c r="T56" s="186">
        <v>0</v>
      </c>
      <c r="U56" s="186">
        <v>0</v>
      </c>
      <c r="V56" s="186">
        <v>0</v>
      </c>
      <c r="W56" s="188">
        <v>0</v>
      </c>
      <c r="X56" s="188">
        <v>0</v>
      </c>
      <c r="Y56" s="296" t="b">
        <f t="shared" ref="Y56:Y58" si="24">L56=SUM(O56:X56)</f>
        <v>1</v>
      </c>
      <c r="Z56" s="297">
        <f t="shared" si="6"/>
        <v>0.7</v>
      </c>
      <c r="AA56" s="298" t="b">
        <f t="shared" si="7"/>
        <v>1</v>
      </c>
      <c r="AB56" s="298" t="b">
        <f t="shared" si="8"/>
        <v>1</v>
      </c>
    </row>
    <row r="57" spans="1:28" s="8" customFormat="1" ht="39.950000000000003" customHeight="1" x14ac:dyDescent="0.25">
      <c r="A57" s="141">
        <v>55</v>
      </c>
      <c r="B57" s="150" t="s">
        <v>347</v>
      </c>
      <c r="C57" s="153" t="s">
        <v>52</v>
      </c>
      <c r="D57" s="150" t="s">
        <v>157</v>
      </c>
      <c r="E57" s="149">
        <v>1611053</v>
      </c>
      <c r="F57" s="149" t="s">
        <v>57</v>
      </c>
      <c r="G57" s="150" t="s">
        <v>316</v>
      </c>
      <c r="H57" s="149" t="s">
        <v>270</v>
      </c>
      <c r="I57" s="171">
        <v>0.32700000000000001</v>
      </c>
      <c r="J57" s="379" t="s">
        <v>336</v>
      </c>
      <c r="K57" s="253">
        <v>1925550</v>
      </c>
      <c r="L57" s="167">
        <f t="shared" si="22"/>
        <v>1155330</v>
      </c>
      <c r="M57" s="167">
        <f t="shared" si="23"/>
        <v>770220</v>
      </c>
      <c r="N57" s="131">
        <v>0.6</v>
      </c>
      <c r="O57" s="186">
        <v>0</v>
      </c>
      <c r="P57" s="186">
        <v>0</v>
      </c>
      <c r="Q57" s="237">
        <f t="shared" si="20"/>
        <v>1155330</v>
      </c>
      <c r="R57" s="186">
        <v>0</v>
      </c>
      <c r="S57" s="186">
        <v>0</v>
      </c>
      <c r="T57" s="186">
        <v>0</v>
      </c>
      <c r="U57" s="186">
        <v>0</v>
      </c>
      <c r="V57" s="186">
        <v>0</v>
      </c>
      <c r="W57" s="188">
        <v>0</v>
      </c>
      <c r="X57" s="188">
        <v>0</v>
      </c>
      <c r="Y57" s="296" t="b">
        <f t="shared" si="24"/>
        <v>1</v>
      </c>
      <c r="Z57" s="297">
        <f t="shared" si="6"/>
        <v>0.6</v>
      </c>
      <c r="AA57" s="298" t="b">
        <f t="shared" si="7"/>
        <v>1</v>
      </c>
      <c r="AB57" s="298" t="b">
        <f t="shared" si="8"/>
        <v>1</v>
      </c>
    </row>
    <row r="58" spans="1:28" s="8" customFormat="1" ht="39.950000000000003" customHeight="1" x14ac:dyDescent="0.25">
      <c r="A58" s="8">
        <v>56</v>
      </c>
      <c r="B58" s="150" t="s">
        <v>348</v>
      </c>
      <c r="C58" s="153" t="s">
        <v>52</v>
      </c>
      <c r="D58" s="150" t="s">
        <v>77</v>
      </c>
      <c r="E58" s="149">
        <v>1607092</v>
      </c>
      <c r="F58" s="149" t="s">
        <v>45</v>
      </c>
      <c r="G58" s="150" t="s">
        <v>249</v>
      </c>
      <c r="H58" s="149" t="s">
        <v>46</v>
      </c>
      <c r="I58" s="171">
        <v>0.54200000000000004</v>
      </c>
      <c r="J58" s="170" t="s">
        <v>292</v>
      </c>
      <c r="K58" s="253">
        <v>3598753.91</v>
      </c>
      <c r="L58" s="167">
        <f t="shared" si="22"/>
        <v>2519127.7400000002</v>
      </c>
      <c r="M58" s="167">
        <f t="shared" si="23"/>
        <v>1079626.17</v>
      </c>
      <c r="N58" s="131">
        <v>0.7</v>
      </c>
      <c r="O58" s="186">
        <v>0</v>
      </c>
      <c r="P58" s="186">
        <v>0</v>
      </c>
      <c r="Q58" s="237">
        <f t="shared" si="20"/>
        <v>2519127.7400000002</v>
      </c>
      <c r="R58" s="186">
        <v>0</v>
      </c>
      <c r="S58" s="186">
        <v>0</v>
      </c>
      <c r="T58" s="186">
        <v>0</v>
      </c>
      <c r="U58" s="186">
        <v>0</v>
      </c>
      <c r="V58" s="186">
        <v>0</v>
      </c>
      <c r="W58" s="188">
        <v>0</v>
      </c>
      <c r="X58" s="188">
        <v>0</v>
      </c>
      <c r="Y58" s="296" t="b">
        <f t="shared" si="24"/>
        <v>1</v>
      </c>
      <c r="Z58" s="297">
        <f t="shared" si="6"/>
        <v>0.7</v>
      </c>
      <c r="AA58" s="298" t="b">
        <f t="shared" si="7"/>
        <v>1</v>
      </c>
      <c r="AB58" s="298" t="b">
        <f t="shared" si="8"/>
        <v>1</v>
      </c>
    </row>
    <row r="59" spans="1:28" s="8" customFormat="1" ht="39.950000000000003" customHeight="1" x14ac:dyDescent="0.25">
      <c r="A59" s="312" t="s">
        <v>351</v>
      </c>
      <c r="B59" s="150" t="s">
        <v>353</v>
      </c>
      <c r="C59" s="153" t="s">
        <v>52</v>
      </c>
      <c r="D59" s="150" t="s">
        <v>91</v>
      </c>
      <c r="E59" s="149">
        <v>1602033</v>
      </c>
      <c r="F59" s="149" t="s">
        <v>83</v>
      </c>
      <c r="G59" s="150" t="s">
        <v>250</v>
      </c>
      <c r="H59" s="149" t="s">
        <v>46</v>
      </c>
      <c r="I59" s="171">
        <v>0.68899999999999995</v>
      </c>
      <c r="J59" s="170" t="s">
        <v>277</v>
      </c>
      <c r="K59" s="253">
        <v>2699601.04</v>
      </c>
      <c r="L59" s="167">
        <v>1259096.07</v>
      </c>
      <c r="M59" s="167">
        <f t="shared" si="23"/>
        <v>1440504.97</v>
      </c>
      <c r="N59" s="131">
        <v>0.7</v>
      </c>
      <c r="O59" s="186">
        <v>0</v>
      </c>
      <c r="P59" s="186">
        <v>0</v>
      </c>
      <c r="Q59" s="237">
        <v>1259096.07</v>
      </c>
      <c r="R59" s="186">
        <v>0</v>
      </c>
      <c r="S59" s="186">
        <v>0</v>
      </c>
      <c r="T59" s="186">
        <v>0</v>
      </c>
      <c r="U59" s="186">
        <v>0</v>
      </c>
      <c r="V59" s="186">
        <v>0</v>
      </c>
      <c r="W59" s="188">
        <v>0</v>
      </c>
      <c r="X59" s="188">
        <v>0</v>
      </c>
      <c r="Y59" s="296" t="b">
        <f t="shared" ref="Y59" si="25">L59=SUM(O59:X59)</f>
        <v>1</v>
      </c>
      <c r="Z59" s="297">
        <f t="shared" ref="Z59" si="26">ROUND(L59/K59,4)</f>
        <v>0.46639999999999998</v>
      </c>
      <c r="AA59" s="298" t="b">
        <f t="shared" ref="AA59" si="27">Z59=N59</f>
        <v>0</v>
      </c>
      <c r="AB59" s="298" t="b">
        <f t="shared" ref="AB59" si="28">K59=L59+M59</f>
        <v>1</v>
      </c>
    </row>
    <row r="60" spans="1:28" ht="19.5" customHeight="1" x14ac:dyDescent="0.25">
      <c r="A60" s="413" t="s">
        <v>44</v>
      </c>
      <c r="B60" s="414"/>
      <c r="C60" s="414"/>
      <c r="D60" s="414"/>
      <c r="E60" s="414"/>
      <c r="F60" s="414"/>
      <c r="G60" s="414"/>
      <c r="H60" s="137"/>
      <c r="I60" s="195">
        <f>SUM(I3:I59)</f>
        <v>38.551799999999993</v>
      </c>
      <c r="J60" s="160" t="s">
        <v>13</v>
      </c>
      <c r="K60" s="161">
        <f>SUM(K3:K59)</f>
        <v>99570319.570000008</v>
      </c>
      <c r="L60" s="161">
        <f t="shared" ref="L60:M60" si="29">SUM(L3:L59)</f>
        <v>65452561.980000012</v>
      </c>
      <c r="M60" s="161">
        <f t="shared" si="29"/>
        <v>34117757.589999989</v>
      </c>
      <c r="N60" s="163" t="s">
        <v>13</v>
      </c>
      <c r="O60" s="162">
        <f>SUM(O3:O59)</f>
        <v>5851981.6699999999</v>
      </c>
      <c r="P60" s="162">
        <f>SUM(P3:P59)</f>
        <v>10956536.139999999</v>
      </c>
      <c r="Q60" s="162">
        <f t="shared" ref="Q60:X60" si="30">SUM(Q3:Q59)</f>
        <v>40185333.651999995</v>
      </c>
      <c r="R60" s="162">
        <f t="shared" si="30"/>
        <v>8458710.5179999992</v>
      </c>
      <c r="S60" s="162">
        <f t="shared" si="30"/>
        <v>0</v>
      </c>
      <c r="T60" s="162">
        <f t="shared" si="30"/>
        <v>0</v>
      </c>
      <c r="U60" s="162">
        <f t="shared" si="30"/>
        <v>0</v>
      </c>
      <c r="V60" s="162">
        <f t="shared" si="30"/>
        <v>0</v>
      </c>
      <c r="W60" s="162">
        <f t="shared" si="30"/>
        <v>0</v>
      </c>
      <c r="X60" s="162">
        <f t="shared" si="30"/>
        <v>0</v>
      </c>
      <c r="Y60" s="296" t="b">
        <f>L60=SUM(O60:X60)</f>
        <v>1</v>
      </c>
      <c r="Z60" s="297">
        <f>ROUND(L60/K60,4)</f>
        <v>0.65739999999999998</v>
      </c>
      <c r="AA60" s="298" t="s">
        <v>13</v>
      </c>
      <c r="AB60" s="298" t="b">
        <f>K60=L60+M60</f>
        <v>1</v>
      </c>
    </row>
    <row r="61" spans="1:28" ht="19.5" customHeight="1" x14ac:dyDescent="0.25">
      <c r="A61" s="413" t="s">
        <v>37</v>
      </c>
      <c r="B61" s="414"/>
      <c r="C61" s="414"/>
      <c r="D61" s="414"/>
      <c r="E61" s="414"/>
      <c r="F61" s="414"/>
      <c r="G61" s="414"/>
      <c r="H61" s="137"/>
      <c r="I61" s="195">
        <f>SUMIF($C$3:$C$59,"K",I3:I59)</f>
        <v>3.5709999999999997</v>
      </c>
      <c r="J61" s="160" t="s">
        <v>13</v>
      </c>
      <c r="K61" s="161">
        <f>SUMIF($C$3:$C$59,"K",K3:K59)</f>
        <v>26567513.729999997</v>
      </c>
      <c r="L61" s="161">
        <f>SUMIF($C$3:$C$59,"K",L3:L59)</f>
        <v>17912999.190000001</v>
      </c>
      <c r="M61" s="161">
        <f>SUMIF($C$3:$C$59,"K",M3:M59)</f>
        <v>8654514.540000001</v>
      </c>
      <c r="N61" s="163" t="s">
        <v>13</v>
      </c>
      <c r="O61" s="162">
        <f>SUMIF($C$3:$C$59,"K",O3:O59)</f>
        <v>5851981.6699999999</v>
      </c>
      <c r="P61" s="162">
        <f>SUMIF($C$3:$C$59,"K",P3:P59)</f>
        <v>10956536.139999999</v>
      </c>
      <c r="Q61" s="162">
        <f>SUMIF($C$3:$C$59,"K",Q3:Q59)</f>
        <v>1104481.3799999999</v>
      </c>
      <c r="R61" s="162">
        <f>SUMIF($C$3:$C$59,"K",R3:R59)</f>
        <v>0</v>
      </c>
      <c r="S61" s="162">
        <f t="shared" ref="S61:X61" si="31">SUMIF($C$3:$C$59,"K",S3:S59)</f>
        <v>0</v>
      </c>
      <c r="T61" s="162">
        <f t="shared" si="31"/>
        <v>0</v>
      </c>
      <c r="U61" s="162">
        <f t="shared" si="31"/>
        <v>0</v>
      </c>
      <c r="V61" s="162">
        <f t="shared" si="31"/>
        <v>0</v>
      </c>
      <c r="W61" s="162">
        <f t="shared" si="31"/>
        <v>0</v>
      </c>
      <c r="X61" s="162">
        <f t="shared" si="31"/>
        <v>0</v>
      </c>
      <c r="Y61" s="296" t="b">
        <f>L61=SUM(O61:X61)</f>
        <v>1</v>
      </c>
      <c r="Z61" s="297">
        <f>ROUND(L61/K61,4)</f>
        <v>0.67420000000000002</v>
      </c>
      <c r="AA61" s="298" t="s">
        <v>13</v>
      </c>
      <c r="AB61" s="298" t="b">
        <f>K61=L61+M61</f>
        <v>1</v>
      </c>
    </row>
    <row r="62" spans="1:28" ht="19.5" customHeight="1" x14ac:dyDescent="0.25">
      <c r="A62" s="413" t="s">
        <v>38</v>
      </c>
      <c r="B62" s="414"/>
      <c r="C62" s="414"/>
      <c r="D62" s="414"/>
      <c r="E62" s="414"/>
      <c r="F62" s="414"/>
      <c r="G62" s="414"/>
      <c r="H62" s="137"/>
      <c r="I62" s="195">
        <f>SUMIF($C$3:$C$59,"N",I3:I59)</f>
        <v>30.702800000000003</v>
      </c>
      <c r="J62" s="160" t="s">
        <v>13</v>
      </c>
      <c r="K62" s="161">
        <f>SUMIF($C$3:$C$59,"N",K3:K59)</f>
        <v>48820081.399999999</v>
      </c>
      <c r="L62" s="161">
        <f>SUMIF($C$3:$C$59,"N",L3:L59)</f>
        <v>31571928.149999999</v>
      </c>
      <c r="M62" s="161">
        <f>SUMIF($C$3:$C$59,"N",M3:M59)</f>
        <v>17248153.25</v>
      </c>
      <c r="N62" s="163" t="s">
        <v>13</v>
      </c>
      <c r="O62" s="162">
        <f>SUMIF($C$3:$C$59,"N",O3:O59)</f>
        <v>0</v>
      </c>
      <c r="P62" s="162">
        <f t="shared" ref="P62:X62" si="32">SUMIF($C$3:$C$59,"N",P3:P59)</f>
        <v>0</v>
      </c>
      <c r="Q62" s="162">
        <f t="shared" si="32"/>
        <v>31571928.149999999</v>
      </c>
      <c r="R62" s="162">
        <f t="shared" si="32"/>
        <v>0</v>
      </c>
      <c r="S62" s="162">
        <f t="shared" si="32"/>
        <v>0</v>
      </c>
      <c r="T62" s="162">
        <f t="shared" si="32"/>
        <v>0</v>
      </c>
      <c r="U62" s="162">
        <f t="shared" si="32"/>
        <v>0</v>
      </c>
      <c r="V62" s="162">
        <f t="shared" si="32"/>
        <v>0</v>
      </c>
      <c r="W62" s="162">
        <f t="shared" si="32"/>
        <v>0</v>
      </c>
      <c r="X62" s="162">
        <f t="shared" si="32"/>
        <v>0</v>
      </c>
      <c r="Y62" s="296" t="b">
        <f>L62=SUM(O62:X62)</f>
        <v>1</v>
      </c>
      <c r="Z62" s="297">
        <f>ROUND(L62/K62,4)</f>
        <v>0.64670000000000005</v>
      </c>
      <c r="AA62" s="298" t="s">
        <v>13</v>
      </c>
      <c r="AB62" s="298" t="b">
        <f>K62=L62+M62</f>
        <v>1</v>
      </c>
    </row>
    <row r="63" spans="1:28" ht="19.5" customHeight="1" x14ac:dyDescent="0.25">
      <c r="A63" s="423" t="s">
        <v>39</v>
      </c>
      <c r="B63" s="424"/>
      <c r="C63" s="424"/>
      <c r="D63" s="424"/>
      <c r="E63" s="424"/>
      <c r="F63" s="424"/>
      <c r="G63" s="424"/>
      <c r="H63" s="225"/>
      <c r="I63" s="214">
        <f>SUMIF($C$3:$C$59,"W",I3:I59)</f>
        <v>4.2779999999999996</v>
      </c>
      <c r="J63" s="267" t="s">
        <v>13</v>
      </c>
      <c r="K63" s="215">
        <f>SUMIF($C$3:$C$59,"W",K3:K59)</f>
        <v>24182724.439999998</v>
      </c>
      <c r="L63" s="215">
        <f>SUMIF($C$3:$C$59,"W",L3:L59)</f>
        <v>15967634.639999999</v>
      </c>
      <c r="M63" s="215">
        <f>SUMIF($C$3:$C$59,"W",M3:M59)</f>
        <v>8215089.8000000007</v>
      </c>
      <c r="N63" s="216" t="s">
        <v>13</v>
      </c>
      <c r="O63" s="217">
        <f>SUMIF($C$3:$C$59,"W",O3:O59)</f>
        <v>0</v>
      </c>
      <c r="P63" s="217">
        <f t="shared" ref="P63:X63" si="33">SUMIF($C$3:$C$59,"W",P3:P59)</f>
        <v>0</v>
      </c>
      <c r="Q63" s="217">
        <f t="shared" si="33"/>
        <v>7508924.1219999995</v>
      </c>
      <c r="R63" s="217">
        <f t="shared" si="33"/>
        <v>8458710.5179999992</v>
      </c>
      <c r="S63" s="217">
        <f t="shared" si="33"/>
        <v>0</v>
      </c>
      <c r="T63" s="217">
        <f t="shared" si="33"/>
        <v>0</v>
      </c>
      <c r="U63" s="217">
        <f t="shared" si="33"/>
        <v>0</v>
      </c>
      <c r="V63" s="217">
        <f t="shared" si="33"/>
        <v>0</v>
      </c>
      <c r="W63" s="217">
        <f t="shared" si="33"/>
        <v>0</v>
      </c>
      <c r="X63" s="217">
        <f t="shared" si="33"/>
        <v>0</v>
      </c>
      <c r="Y63" s="296" t="b">
        <f>L63=SUM(O63:X63)</f>
        <v>1</v>
      </c>
      <c r="Z63" s="297">
        <f>ROUND(L63/K63,4)</f>
        <v>0.6603</v>
      </c>
      <c r="AA63" s="298" t="s">
        <v>13</v>
      </c>
      <c r="AB63" s="298" t="b">
        <f>K63=L63+M63</f>
        <v>1</v>
      </c>
    </row>
    <row r="64" spans="1:28" x14ac:dyDescent="0.25">
      <c r="I64" s="2"/>
      <c r="J64" s="385"/>
      <c r="K64" s="5"/>
      <c r="Q64" s="118"/>
    </row>
    <row r="65" spans="1:17" x14ac:dyDescent="0.25">
      <c r="A65" s="3" t="s">
        <v>24</v>
      </c>
      <c r="J65" s="384"/>
      <c r="L65" s="118"/>
      <c r="M65" s="118"/>
      <c r="Q65" s="118"/>
    </row>
    <row r="66" spans="1:17" x14ac:dyDescent="0.25">
      <c r="A66" s="24" t="s">
        <v>25</v>
      </c>
      <c r="M66" s="118"/>
      <c r="Q66" s="118"/>
    </row>
    <row r="67" spans="1:17" x14ac:dyDescent="0.25">
      <c r="A67" s="23" t="s">
        <v>42</v>
      </c>
      <c r="K67" s="383"/>
      <c r="Q67" s="118"/>
    </row>
    <row r="68" spans="1:17" x14ac:dyDescent="0.25">
      <c r="A68" s="26" t="s">
        <v>326</v>
      </c>
    </row>
    <row r="71" spans="1:17" x14ac:dyDescent="0.25">
      <c r="Q71" s="118"/>
    </row>
  </sheetData>
  <autoFilter ref="A1:X68"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</autoFilter>
  <mergeCells count="17">
    <mergeCell ref="H1:H2"/>
    <mergeCell ref="A63:G63"/>
    <mergeCell ref="A62:G62"/>
    <mergeCell ref="A61:G61"/>
    <mergeCell ref="A60:G60"/>
    <mergeCell ref="A1:A2"/>
    <mergeCell ref="B1:B2"/>
    <mergeCell ref="C1:C2"/>
    <mergeCell ref="G1:G2"/>
    <mergeCell ref="D1:D2"/>
    <mergeCell ref="O1:X1"/>
    <mergeCell ref="N1:N2"/>
    <mergeCell ref="L1:L2"/>
    <mergeCell ref="M1:M2"/>
    <mergeCell ref="I1:I2"/>
    <mergeCell ref="K1:K2"/>
    <mergeCell ref="J1:J2"/>
  </mergeCells>
  <conditionalFormatting sqref="Y3:AB54 Y60:AB61">
    <cfRule type="cellIs" dxfId="45" priority="21" operator="equal">
      <formula>FALSE</formula>
    </cfRule>
  </conditionalFormatting>
  <conditionalFormatting sqref="Y3:AA54 Y60:AA61">
    <cfRule type="containsText" dxfId="44" priority="19" operator="containsText" text="fałsz">
      <formula>NOT(ISERROR(SEARCH("fałsz",Y3)))</formula>
    </cfRule>
  </conditionalFormatting>
  <conditionalFormatting sqref="Z63:AA63">
    <cfRule type="cellIs" dxfId="43" priority="16" operator="equal">
      <formula>FALSE</formula>
    </cfRule>
  </conditionalFormatting>
  <conditionalFormatting sqref="Y63:AA63">
    <cfRule type="containsText" dxfId="42" priority="14" operator="containsText" text="fałsz">
      <formula>NOT(ISERROR(SEARCH("fałsz",Y63)))</formula>
    </cfRule>
  </conditionalFormatting>
  <conditionalFormatting sqref="Y63">
    <cfRule type="cellIs" dxfId="41" priority="15" operator="equal">
      <formula>FALSE</formula>
    </cfRule>
  </conditionalFormatting>
  <conditionalFormatting sqref="AB63">
    <cfRule type="cellIs" dxfId="40" priority="13" operator="equal">
      <formula>FALSE</formula>
    </cfRule>
  </conditionalFormatting>
  <conditionalFormatting sqref="AB63">
    <cfRule type="cellIs" dxfId="39" priority="12" operator="equal">
      <formula>FALSE</formula>
    </cfRule>
  </conditionalFormatting>
  <conditionalFormatting sqref="Z62:AA62">
    <cfRule type="cellIs" dxfId="38" priority="11" operator="equal">
      <formula>FALSE</formula>
    </cfRule>
  </conditionalFormatting>
  <conditionalFormatting sqref="Y62">
    <cfRule type="cellIs" dxfId="37" priority="10" operator="equal">
      <formula>FALSE</formula>
    </cfRule>
  </conditionalFormatting>
  <conditionalFormatting sqref="Y62:AA62">
    <cfRule type="containsText" dxfId="36" priority="9" operator="containsText" text="fałsz">
      <formula>NOT(ISERROR(SEARCH("fałsz",Y62)))</formula>
    </cfRule>
  </conditionalFormatting>
  <conditionalFormatting sqref="AB62">
    <cfRule type="cellIs" dxfId="35" priority="8" operator="equal">
      <formula>FALSE</formula>
    </cfRule>
  </conditionalFormatting>
  <conditionalFormatting sqref="AB62">
    <cfRule type="cellIs" dxfId="34" priority="7" operator="equal">
      <formula>FALSE</formula>
    </cfRule>
  </conditionalFormatting>
  <conditionalFormatting sqref="Y55:AB55">
    <cfRule type="cellIs" dxfId="33" priority="4" operator="equal">
      <formula>FALSE</formula>
    </cfRule>
  </conditionalFormatting>
  <conditionalFormatting sqref="Y56:AB59">
    <cfRule type="cellIs" dxfId="32" priority="2" operator="equal">
      <formula>FALSE</formula>
    </cfRule>
  </conditionalFormatting>
  <dataValidations count="3">
    <dataValidation type="list" allowBlank="1" showInputMessage="1" showErrorMessage="1" sqref="C3:C8 C10:C27 C29:C35 C45 C47:C48">
      <formula1>"N,K,W"</formula1>
    </dataValidation>
    <dataValidation type="list" allowBlank="1" showInputMessage="1" showErrorMessage="1" sqref="C36:C38 C43:D43 C39:D39 C40:C42 C44 C49:C59">
      <formula1>"N,W"</formula1>
    </dataValidation>
    <dataValidation type="list" allowBlank="1" showInputMessage="1" showErrorMessage="1" sqref="H10:H27 H3:H8 H29:H45 H47:H59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56" fitToHeight="0" orientation="landscape" r:id="rId1"/>
  <headerFooter>
    <oddHeader>&amp;LWojewództwo &amp;K000000Opolskie&amp;K01+000 - zadania gminne lista podstawowa</oddHeader>
    <oddFooter>Strona &amp;P z &amp;N</oddFooter>
  </headerFooter>
  <rowBreaks count="1" manualBreakCount="1">
    <brk id="34" max="2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text="fałsz" id="{76211D70-B51B-4E3B-95E3-1956632C69ED}">
            <xm:f>NOT(ISERROR(SEARCH("fałsz",'gm rez'!Y55)))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Y55:AA59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Q15"/>
  <sheetViews>
    <sheetView showGridLines="0" view="pageBreakPreview" zoomScaleNormal="78" zoomScaleSheetLayoutView="100" workbookViewId="0">
      <selection activeCell="C36" sqref="C36"/>
    </sheetView>
  </sheetViews>
  <sheetFormatPr defaultColWidth="9.140625" defaultRowHeight="15" x14ac:dyDescent="0.25"/>
  <cols>
    <col min="1" max="1" width="7.85546875" style="8" customWidth="1"/>
    <col min="2" max="2" width="12.28515625" style="8" customWidth="1"/>
    <col min="3" max="3" width="9.85546875" style="8" customWidth="1"/>
    <col min="4" max="4" width="18" style="140" customWidth="1"/>
    <col min="5" max="5" width="11.42578125" style="232" customWidth="1"/>
    <col min="6" max="6" width="43" style="8" customWidth="1"/>
    <col min="7" max="7" width="8.7109375" style="232" customWidth="1"/>
    <col min="8" max="8" width="13.28515625" style="8" customWidth="1"/>
    <col min="9" max="9" width="15.7109375" style="228" customWidth="1"/>
    <col min="10" max="10" width="15.7109375" style="326" customWidth="1"/>
    <col min="11" max="11" width="18.28515625" style="327" customWidth="1"/>
    <col min="12" max="12" width="15.7109375" style="327" customWidth="1"/>
    <col min="13" max="13" width="15.28515625" style="1" customWidth="1"/>
    <col min="14" max="14" width="9.42578125" style="1" customWidth="1"/>
    <col min="15" max="15" width="8.42578125" style="8" customWidth="1"/>
    <col min="16" max="16" width="15.7109375" style="8" customWidth="1"/>
    <col min="17" max="17" width="10" style="8" customWidth="1"/>
    <col min="18" max="18" width="8.85546875" style="8" customWidth="1"/>
    <col min="19" max="19" width="11.140625" style="8" customWidth="1"/>
    <col min="20" max="20" width="9.5703125" style="8" customWidth="1"/>
    <col min="21" max="21" width="10" style="8" customWidth="1"/>
    <col min="22" max="22" width="8.140625" style="8" customWidth="1"/>
    <col min="23" max="23" width="10.42578125" style="8" customWidth="1"/>
    <col min="24" max="27" width="15.7109375" style="8" customWidth="1"/>
    <col min="28" max="173" width="9.140625" style="22"/>
    <col min="174" max="16384" width="9.140625" style="8"/>
  </cols>
  <sheetData>
    <row r="1" spans="1:173" ht="20.100000000000001" customHeight="1" x14ac:dyDescent="0.25">
      <c r="A1" s="411" t="s">
        <v>4</v>
      </c>
      <c r="B1" s="411" t="s">
        <v>5</v>
      </c>
      <c r="C1" s="420" t="s">
        <v>32</v>
      </c>
      <c r="D1" s="416" t="s">
        <v>6</v>
      </c>
      <c r="E1" s="427" t="s">
        <v>31</v>
      </c>
      <c r="F1" s="416" t="s">
        <v>7</v>
      </c>
      <c r="G1" s="426" t="s">
        <v>26</v>
      </c>
      <c r="H1" s="411" t="s">
        <v>268</v>
      </c>
      <c r="I1" s="426" t="s">
        <v>23</v>
      </c>
      <c r="J1" s="412" t="s">
        <v>8</v>
      </c>
      <c r="K1" s="411" t="s">
        <v>9</v>
      </c>
      <c r="L1" s="416" t="s">
        <v>12</v>
      </c>
      <c r="M1" s="411" t="s">
        <v>10</v>
      </c>
      <c r="N1" s="413" t="s">
        <v>11</v>
      </c>
      <c r="O1" s="414"/>
      <c r="P1" s="414"/>
      <c r="Q1" s="414"/>
      <c r="R1" s="230"/>
      <c r="S1" s="230"/>
      <c r="T1" s="230"/>
      <c r="U1" s="230"/>
      <c r="V1" s="230"/>
      <c r="W1" s="231"/>
    </row>
    <row r="2" spans="1:173" ht="26.25" customHeight="1" x14ac:dyDescent="0.25">
      <c r="A2" s="411"/>
      <c r="B2" s="411"/>
      <c r="C2" s="421"/>
      <c r="D2" s="417"/>
      <c r="E2" s="428"/>
      <c r="F2" s="417"/>
      <c r="G2" s="426"/>
      <c r="H2" s="411"/>
      <c r="I2" s="426"/>
      <c r="J2" s="412"/>
      <c r="K2" s="411"/>
      <c r="L2" s="417"/>
      <c r="M2" s="411"/>
      <c r="N2" s="226">
        <v>2019</v>
      </c>
      <c r="O2" s="28">
        <v>2020</v>
      </c>
      <c r="P2" s="28">
        <v>2021</v>
      </c>
      <c r="Q2" s="126">
        <v>2022</v>
      </c>
      <c r="R2" s="28">
        <v>2023</v>
      </c>
      <c r="S2" s="28">
        <v>2024</v>
      </c>
      <c r="T2" s="28">
        <v>2025</v>
      </c>
      <c r="U2" s="28">
        <v>2026</v>
      </c>
      <c r="V2" s="28">
        <v>2027</v>
      </c>
      <c r="W2" s="28">
        <v>2028</v>
      </c>
      <c r="X2" s="1" t="s">
        <v>27</v>
      </c>
      <c r="Y2" s="1" t="s">
        <v>28</v>
      </c>
      <c r="Z2" s="1" t="s">
        <v>29</v>
      </c>
      <c r="AA2" s="33" t="s">
        <v>30</v>
      </c>
    </row>
    <row r="3" spans="1:173" s="270" customFormat="1" ht="37.5" customHeight="1" thickBot="1" x14ac:dyDescent="0.3">
      <c r="A3" s="268">
        <v>1</v>
      </c>
      <c r="B3" s="148" t="s">
        <v>106</v>
      </c>
      <c r="C3" s="149" t="s">
        <v>52</v>
      </c>
      <c r="D3" s="150" t="s">
        <v>59</v>
      </c>
      <c r="E3" s="166" t="s">
        <v>308</v>
      </c>
      <c r="F3" s="150" t="s">
        <v>202</v>
      </c>
      <c r="G3" s="149" t="s">
        <v>46</v>
      </c>
      <c r="H3" s="208">
        <v>2.5030000000000001</v>
      </c>
      <c r="I3" s="204" t="s">
        <v>309</v>
      </c>
      <c r="J3" s="189">
        <v>5255628.3499999996</v>
      </c>
      <c r="K3" s="328">
        <f>ROUND(J3*M3,2)</f>
        <v>2627814.1800000002</v>
      </c>
      <c r="L3" s="328">
        <f>J3-K3</f>
        <v>2627814.1699999995</v>
      </c>
      <c r="M3" s="236">
        <v>0.5</v>
      </c>
      <c r="N3" s="188">
        <v>0</v>
      </c>
      <c r="O3" s="188">
        <v>0</v>
      </c>
      <c r="P3" s="188">
        <f>K3</f>
        <v>2627814.1800000002</v>
      </c>
      <c r="Q3" s="188">
        <v>0</v>
      </c>
      <c r="R3" s="186">
        <v>0</v>
      </c>
      <c r="S3" s="186">
        <v>0</v>
      </c>
      <c r="T3" s="186">
        <v>0</v>
      </c>
      <c r="U3" s="186">
        <v>0</v>
      </c>
      <c r="V3" s="186">
        <v>0</v>
      </c>
      <c r="W3" s="188">
        <v>0</v>
      </c>
      <c r="X3" s="269" t="b">
        <f t="shared" ref="X3:X10" si="0">K3=SUM(O3:W3)</f>
        <v>1</v>
      </c>
      <c r="Y3" s="113">
        <f t="shared" ref="Y3:Y10" si="1">ROUND(K3/J3,4)</f>
        <v>0.5</v>
      </c>
      <c r="Z3" s="114" t="s">
        <v>13</v>
      </c>
      <c r="AA3" s="114" t="b">
        <f t="shared" ref="AA3:AA10" si="2">J3=K3+L3</f>
        <v>1</v>
      </c>
      <c r="AB3" s="369"/>
      <c r="AC3" s="370"/>
      <c r="AD3" s="370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  <c r="BL3" s="122"/>
      <c r="BM3" s="122"/>
      <c r="BN3" s="122"/>
      <c r="BO3" s="122"/>
      <c r="BP3" s="122"/>
      <c r="BQ3" s="122"/>
      <c r="BR3" s="122"/>
      <c r="BS3" s="122"/>
      <c r="BT3" s="122"/>
      <c r="BU3" s="122"/>
      <c r="BV3" s="122"/>
      <c r="BW3" s="122"/>
      <c r="BX3" s="122"/>
      <c r="BY3" s="122"/>
      <c r="BZ3" s="122"/>
      <c r="CA3" s="122"/>
      <c r="CB3" s="122"/>
      <c r="CC3" s="122"/>
      <c r="CD3" s="122"/>
      <c r="CE3" s="122"/>
      <c r="CF3" s="122"/>
      <c r="CG3" s="122"/>
      <c r="CH3" s="122"/>
      <c r="CI3" s="122"/>
      <c r="CJ3" s="122"/>
      <c r="CK3" s="122"/>
      <c r="CL3" s="122"/>
      <c r="CM3" s="122"/>
      <c r="CN3" s="122"/>
      <c r="CO3" s="122"/>
      <c r="CP3" s="122"/>
      <c r="CQ3" s="122"/>
      <c r="CR3" s="122"/>
      <c r="CS3" s="122"/>
      <c r="CT3" s="122"/>
      <c r="CU3" s="122"/>
      <c r="CV3" s="122"/>
      <c r="CW3" s="122"/>
      <c r="CX3" s="122"/>
      <c r="CY3" s="122"/>
      <c r="CZ3" s="122"/>
      <c r="DA3" s="122"/>
      <c r="DB3" s="122"/>
      <c r="DC3" s="122"/>
      <c r="DD3" s="122"/>
      <c r="DE3" s="122"/>
      <c r="DF3" s="122"/>
      <c r="DG3" s="122"/>
      <c r="DH3" s="122"/>
      <c r="DI3" s="122"/>
      <c r="DJ3" s="122"/>
      <c r="DK3" s="122"/>
      <c r="DL3" s="122"/>
      <c r="DM3" s="122"/>
      <c r="DN3" s="122"/>
      <c r="DO3" s="122"/>
      <c r="DP3" s="122"/>
      <c r="DQ3" s="122"/>
      <c r="DR3" s="122"/>
      <c r="DS3" s="122"/>
      <c r="DT3" s="122"/>
      <c r="DU3" s="122"/>
      <c r="DV3" s="122"/>
      <c r="DW3" s="122"/>
      <c r="DX3" s="122"/>
      <c r="DY3" s="122"/>
      <c r="DZ3" s="122"/>
      <c r="EA3" s="122"/>
      <c r="EB3" s="122"/>
      <c r="EC3" s="122"/>
      <c r="ED3" s="122"/>
      <c r="EE3" s="122"/>
      <c r="EF3" s="122"/>
      <c r="EG3" s="122"/>
      <c r="EH3" s="122"/>
      <c r="EI3" s="122"/>
      <c r="EJ3" s="122"/>
      <c r="EK3" s="122"/>
      <c r="EL3" s="122"/>
      <c r="EM3" s="122"/>
      <c r="EN3" s="122"/>
      <c r="EO3" s="122"/>
      <c r="EP3" s="122"/>
      <c r="EQ3" s="122"/>
      <c r="ER3" s="122"/>
      <c r="ES3" s="122"/>
      <c r="ET3" s="122"/>
      <c r="EU3" s="122"/>
      <c r="EV3" s="122"/>
      <c r="EW3" s="122"/>
      <c r="EX3" s="122"/>
      <c r="EY3" s="122"/>
      <c r="EZ3" s="122"/>
      <c r="FA3" s="122"/>
      <c r="FB3" s="122"/>
      <c r="FC3" s="122"/>
      <c r="FD3" s="122"/>
      <c r="FE3" s="122"/>
      <c r="FF3" s="122"/>
      <c r="FG3" s="122"/>
      <c r="FH3" s="122"/>
      <c r="FI3" s="122"/>
      <c r="FJ3" s="122"/>
      <c r="FK3" s="122"/>
      <c r="FL3" s="122"/>
      <c r="FM3" s="122"/>
      <c r="FN3" s="122"/>
      <c r="FO3" s="122"/>
      <c r="FP3" s="122"/>
      <c r="FQ3" s="122"/>
    </row>
    <row r="4" spans="1:173" s="130" customFormat="1" ht="37.5" customHeight="1" thickBot="1" x14ac:dyDescent="0.3">
      <c r="A4" s="235">
        <v>2</v>
      </c>
      <c r="B4" s="148" t="s">
        <v>311</v>
      </c>
      <c r="C4" s="149" t="s">
        <v>52</v>
      </c>
      <c r="D4" s="150" t="s">
        <v>84</v>
      </c>
      <c r="E4" s="166" t="s">
        <v>318</v>
      </c>
      <c r="F4" s="150" t="s">
        <v>310</v>
      </c>
      <c r="G4" s="149" t="s">
        <v>272</v>
      </c>
      <c r="H4" s="208">
        <v>0.48299999999999998</v>
      </c>
      <c r="I4" s="204" t="s">
        <v>278</v>
      </c>
      <c r="J4" s="189">
        <v>2346085.87</v>
      </c>
      <c r="K4" s="329">
        <f>ROUND(J4*M4,2)</f>
        <v>1173042.94</v>
      </c>
      <c r="L4" s="329">
        <f>J4-K4</f>
        <v>1173042.9300000002</v>
      </c>
      <c r="M4" s="236">
        <v>0.5</v>
      </c>
      <c r="N4" s="188">
        <v>0</v>
      </c>
      <c r="O4" s="188">
        <v>0</v>
      </c>
      <c r="P4" s="188">
        <f>K4</f>
        <v>1173042.94</v>
      </c>
      <c r="Q4" s="188">
        <v>0</v>
      </c>
      <c r="R4" s="186">
        <v>0</v>
      </c>
      <c r="S4" s="186">
        <v>0</v>
      </c>
      <c r="T4" s="186">
        <v>0</v>
      </c>
      <c r="U4" s="186">
        <v>0</v>
      </c>
      <c r="V4" s="186">
        <v>0</v>
      </c>
      <c r="W4" s="188">
        <v>0</v>
      </c>
      <c r="X4" s="269" t="b">
        <f t="shared" ref="X4:X6" si="3">K4=SUM(O4:W4)</f>
        <v>1</v>
      </c>
      <c r="Y4" s="113">
        <f t="shared" ref="Y4:Y6" si="4">ROUND(K4/J4,4)</f>
        <v>0.5</v>
      </c>
      <c r="Z4" s="114" t="s">
        <v>13</v>
      </c>
      <c r="AA4" s="114" t="b">
        <f t="shared" ref="AA4:AA6" si="5">J4=K4+L4</f>
        <v>1</v>
      </c>
      <c r="AB4" s="264"/>
      <c r="AC4" s="265"/>
      <c r="AD4" s="265"/>
      <c r="AE4" s="266"/>
      <c r="AF4" s="266"/>
      <c r="AG4" s="266"/>
      <c r="AH4" s="266"/>
      <c r="AI4" s="266"/>
      <c r="AJ4" s="266"/>
      <c r="AK4" s="266"/>
      <c r="AL4" s="266"/>
      <c r="AM4" s="266"/>
      <c r="AN4" s="266"/>
      <c r="AO4" s="266"/>
      <c r="AP4" s="266"/>
      <c r="AQ4" s="266"/>
      <c r="AR4" s="266"/>
      <c r="AS4" s="266"/>
      <c r="AT4" s="266"/>
      <c r="AU4" s="266"/>
      <c r="AV4" s="266"/>
      <c r="AW4" s="266"/>
      <c r="AX4" s="266"/>
      <c r="AY4" s="266"/>
      <c r="AZ4" s="266"/>
      <c r="BA4" s="266"/>
      <c r="BB4" s="266"/>
      <c r="BC4" s="266"/>
      <c r="BD4" s="266"/>
      <c r="BE4" s="266"/>
      <c r="BF4" s="266"/>
      <c r="BG4" s="266"/>
      <c r="BH4" s="266"/>
      <c r="BI4" s="266"/>
      <c r="BJ4" s="266"/>
      <c r="BK4" s="266"/>
      <c r="BL4" s="266"/>
      <c r="BM4" s="266"/>
      <c r="BN4" s="266"/>
      <c r="BO4" s="266"/>
      <c r="BP4" s="266"/>
      <c r="BQ4" s="266"/>
      <c r="BR4" s="266"/>
      <c r="BS4" s="266"/>
      <c r="BT4" s="266"/>
      <c r="BU4" s="266"/>
      <c r="BV4" s="266"/>
      <c r="BW4" s="266"/>
      <c r="BX4" s="266"/>
      <c r="BY4" s="266"/>
      <c r="BZ4" s="266"/>
      <c r="CA4" s="266"/>
      <c r="CB4" s="266"/>
      <c r="CC4" s="266"/>
      <c r="CD4" s="266"/>
      <c r="CE4" s="266"/>
      <c r="CF4" s="266"/>
      <c r="CG4" s="266"/>
      <c r="CH4" s="266"/>
      <c r="CI4" s="266"/>
      <c r="CJ4" s="266"/>
      <c r="CK4" s="266"/>
      <c r="CL4" s="266"/>
      <c r="CM4" s="266"/>
      <c r="CN4" s="266"/>
      <c r="CO4" s="266"/>
      <c r="CP4" s="266"/>
      <c r="CQ4" s="266"/>
      <c r="CR4" s="266"/>
      <c r="CS4" s="266"/>
      <c r="CT4" s="266"/>
      <c r="CU4" s="266"/>
      <c r="CV4" s="266"/>
      <c r="CW4" s="266"/>
      <c r="CX4" s="266"/>
      <c r="CY4" s="266"/>
      <c r="CZ4" s="266"/>
      <c r="DA4" s="266"/>
      <c r="DB4" s="266"/>
      <c r="DC4" s="266"/>
      <c r="DD4" s="266"/>
      <c r="DE4" s="266"/>
      <c r="DF4" s="266"/>
      <c r="DG4" s="266"/>
      <c r="DH4" s="266"/>
      <c r="DI4" s="266"/>
      <c r="DJ4" s="266"/>
      <c r="DK4" s="266"/>
      <c r="DL4" s="266"/>
      <c r="DM4" s="266"/>
      <c r="DN4" s="266"/>
      <c r="DO4" s="266"/>
      <c r="DP4" s="266"/>
      <c r="DQ4" s="266"/>
      <c r="DR4" s="266"/>
      <c r="DS4" s="266"/>
      <c r="DT4" s="266"/>
      <c r="DU4" s="266"/>
      <c r="DV4" s="266"/>
      <c r="DW4" s="266"/>
      <c r="DX4" s="266"/>
      <c r="DY4" s="266"/>
      <c r="DZ4" s="266"/>
      <c r="EA4" s="266"/>
      <c r="EB4" s="266"/>
      <c r="EC4" s="266"/>
      <c r="ED4" s="266"/>
      <c r="EE4" s="266"/>
      <c r="EF4" s="266"/>
      <c r="EG4" s="266"/>
      <c r="EH4" s="266"/>
      <c r="EI4" s="266"/>
      <c r="EJ4" s="266"/>
      <c r="EK4" s="266"/>
      <c r="EL4" s="266"/>
      <c r="EM4" s="266"/>
      <c r="EN4" s="266"/>
      <c r="EO4" s="266"/>
      <c r="EP4" s="266"/>
      <c r="EQ4" s="266"/>
      <c r="ER4" s="266"/>
      <c r="ES4" s="266"/>
      <c r="ET4" s="266"/>
      <c r="EU4" s="266"/>
      <c r="EV4" s="266"/>
      <c r="EW4" s="266"/>
      <c r="EX4" s="266"/>
      <c r="EY4" s="266"/>
      <c r="EZ4" s="266"/>
      <c r="FA4" s="266"/>
      <c r="FB4" s="266"/>
      <c r="FC4" s="266"/>
      <c r="FD4" s="266"/>
      <c r="FE4" s="266"/>
      <c r="FF4" s="266"/>
      <c r="FG4" s="266"/>
      <c r="FH4" s="266"/>
      <c r="FI4" s="266"/>
      <c r="FJ4" s="266"/>
      <c r="FK4" s="266"/>
      <c r="FL4" s="266"/>
      <c r="FM4" s="266"/>
      <c r="FN4" s="266"/>
      <c r="FO4" s="266"/>
      <c r="FP4" s="266"/>
      <c r="FQ4" s="266"/>
    </row>
    <row r="5" spans="1:173" s="130" customFormat="1" ht="37.5" customHeight="1" thickBot="1" x14ac:dyDescent="0.3">
      <c r="A5" s="268">
        <v>3</v>
      </c>
      <c r="B5" s="148" t="s">
        <v>314</v>
      </c>
      <c r="C5" s="149" t="s">
        <v>52</v>
      </c>
      <c r="D5" s="150" t="s">
        <v>49</v>
      </c>
      <c r="E5" s="166" t="s">
        <v>307</v>
      </c>
      <c r="F5" s="150" t="s">
        <v>312</v>
      </c>
      <c r="G5" s="149" t="s">
        <v>272</v>
      </c>
      <c r="H5" s="208">
        <v>2.8450000000000002</v>
      </c>
      <c r="I5" s="204" t="s">
        <v>317</v>
      </c>
      <c r="J5" s="189">
        <v>1134481</v>
      </c>
      <c r="K5" s="329">
        <f>ROUND(J5*M5,2)</f>
        <v>567240.5</v>
      </c>
      <c r="L5" s="329">
        <f>J5-K5</f>
        <v>567240.5</v>
      </c>
      <c r="M5" s="236">
        <v>0.5</v>
      </c>
      <c r="N5" s="188">
        <v>0</v>
      </c>
      <c r="O5" s="188">
        <v>0</v>
      </c>
      <c r="P5" s="188">
        <f>K5</f>
        <v>567240.5</v>
      </c>
      <c r="Q5" s="188">
        <v>0</v>
      </c>
      <c r="R5" s="245">
        <v>0</v>
      </c>
      <c r="S5" s="186">
        <v>0</v>
      </c>
      <c r="T5" s="186">
        <v>0</v>
      </c>
      <c r="U5" s="186">
        <v>0</v>
      </c>
      <c r="V5" s="186">
        <v>0</v>
      </c>
      <c r="W5" s="188">
        <v>0</v>
      </c>
      <c r="X5" s="269" t="b">
        <f t="shared" si="3"/>
        <v>1</v>
      </c>
      <c r="Y5" s="113">
        <f t="shared" si="4"/>
        <v>0.5</v>
      </c>
      <c r="Z5" s="114" t="s">
        <v>13</v>
      </c>
      <c r="AA5" s="114" t="b">
        <f t="shared" si="5"/>
        <v>1</v>
      </c>
      <c r="AB5" s="264"/>
      <c r="AC5" s="265"/>
      <c r="AD5" s="265"/>
      <c r="AE5" s="266"/>
      <c r="AF5" s="266"/>
      <c r="AG5" s="266"/>
      <c r="AH5" s="266"/>
      <c r="AI5" s="266"/>
      <c r="AJ5" s="266"/>
      <c r="AK5" s="266"/>
      <c r="AL5" s="266"/>
      <c r="AM5" s="266"/>
      <c r="AN5" s="266"/>
      <c r="AO5" s="266"/>
      <c r="AP5" s="266"/>
      <c r="AQ5" s="266"/>
      <c r="AR5" s="266"/>
      <c r="AS5" s="266"/>
      <c r="AT5" s="266"/>
      <c r="AU5" s="266"/>
      <c r="AV5" s="266"/>
      <c r="AW5" s="266"/>
      <c r="AX5" s="266"/>
      <c r="AY5" s="266"/>
      <c r="AZ5" s="266"/>
      <c r="BA5" s="266"/>
      <c r="BB5" s="266"/>
      <c r="BC5" s="266"/>
      <c r="BD5" s="266"/>
      <c r="BE5" s="266"/>
      <c r="BF5" s="266"/>
      <c r="BG5" s="266"/>
      <c r="BH5" s="266"/>
      <c r="BI5" s="266"/>
      <c r="BJ5" s="266"/>
      <c r="BK5" s="266"/>
      <c r="BL5" s="266"/>
      <c r="BM5" s="266"/>
      <c r="BN5" s="266"/>
      <c r="BO5" s="266"/>
      <c r="BP5" s="266"/>
      <c r="BQ5" s="266"/>
      <c r="BR5" s="266"/>
      <c r="BS5" s="266"/>
      <c r="BT5" s="266"/>
      <c r="BU5" s="266"/>
      <c r="BV5" s="266"/>
      <c r="BW5" s="266"/>
      <c r="BX5" s="266"/>
      <c r="BY5" s="266"/>
      <c r="BZ5" s="266"/>
      <c r="CA5" s="266"/>
      <c r="CB5" s="266"/>
      <c r="CC5" s="266"/>
      <c r="CD5" s="266"/>
      <c r="CE5" s="266"/>
      <c r="CF5" s="266"/>
      <c r="CG5" s="266"/>
      <c r="CH5" s="266"/>
      <c r="CI5" s="266"/>
      <c r="CJ5" s="266"/>
      <c r="CK5" s="266"/>
      <c r="CL5" s="266"/>
      <c r="CM5" s="266"/>
      <c r="CN5" s="266"/>
      <c r="CO5" s="266"/>
      <c r="CP5" s="266"/>
      <c r="CQ5" s="266"/>
      <c r="CR5" s="266"/>
      <c r="CS5" s="266"/>
      <c r="CT5" s="266"/>
      <c r="CU5" s="266"/>
      <c r="CV5" s="266"/>
      <c r="CW5" s="266"/>
      <c r="CX5" s="266"/>
      <c r="CY5" s="266"/>
      <c r="CZ5" s="266"/>
      <c r="DA5" s="266"/>
      <c r="DB5" s="266"/>
      <c r="DC5" s="266"/>
      <c r="DD5" s="266"/>
      <c r="DE5" s="266"/>
      <c r="DF5" s="266"/>
      <c r="DG5" s="266"/>
      <c r="DH5" s="266"/>
      <c r="DI5" s="266"/>
      <c r="DJ5" s="266"/>
      <c r="DK5" s="266"/>
      <c r="DL5" s="266"/>
      <c r="DM5" s="266"/>
      <c r="DN5" s="266"/>
      <c r="DO5" s="266"/>
      <c r="DP5" s="266"/>
      <c r="DQ5" s="266"/>
      <c r="DR5" s="266"/>
      <c r="DS5" s="266"/>
      <c r="DT5" s="266"/>
      <c r="DU5" s="266"/>
      <c r="DV5" s="266"/>
      <c r="DW5" s="266"/>
      <c r="DX5" s="266"/>
      <c r="DY5" s="266"/>
      <c r="DZ5" s="266"/>
      <c r="EA5" s="266"/>
      <c r="EB5" s="266"/>
      <c r="EC5" s="266"/>
      <c r="ED5" s="266"/>
      <c r="EE5" s="266"/>
      <c r="EF5" s="266"/>
      <c r="EG5" s="266"/>
      <c r="EH5" s="266"/>
      <c r="EI5" s="266"/>
      <c r="EJ5" s="266"/>
      <c r="EK5" s="266"/>
      <c r="EL5" s="266"/>
      <c r="EM5" s="266"/>
      <c r="EN5" s="266"/>
      <c r="EO5" s="266"/>
      <c r="EP5" s="266"/>
      <c r="EQ5" s="266"/>
      <c r="ER5" s="266"/>
      <c r="ES5" s="266"/>
      <c r="ET5" s="266"/>
      <c r="EU5" s="266"/>
      <c r="EV5" s="266"/>
      <c r="EW5" s="266"/>
      <c r="EX5" s="266"/>
      <c r="EY5" s="266"/>
      <c r="EZ5" s="266"/>
      <c r="FA5" s="266"/>
      <c r="FB5" s="266"/>
      <c r="FC5" s="266"/>
      <c r="FD5" s="266"/>
      <c r="FE5" s="266"/>
      <c r="FF5" s="266"/>
      <c r="FG5" s="266"/>
      <c r="FH5" s="266"/>
      <c r="FI5" s="266"/>
      <c r="FJ5" s="266"/>
      <c r="FK5" s="266"/>
      <c r="FL5" s="266"/>
      <c r="FM5" s="266"/>
      <c r="FN5" s="266"/>
      <c r="FO5" s="266"/>
      <c r="FP5" s="266"/>
      <c r="FQ5" s="266"/>
    </row>
    <row r="6" spans="1:173" s="266" customFormat="1" ht="37.5" customHeight="1" x14ac:dyDescent="0.25">
      <c r="A6" s="235">
        <v>4</v>
      </c>
      <c r="B6" s="148" t="s">
        <v>315</v>
      </c>
      <c r="C6" s="149" t="s">
        <v>52</v>
      </c>
      <c r="D6" s="150" t="s">
        <v>49</v>
      </c>
      <c r="E6" s="166" t="s">
        <v>307</v>
      </c>
      <c r="F6" s="150" t="s">
        <v>313</v>
      </c>
      <c r="G6" s="149" t="s">
        <v>272</v>
      </c>
      <c r="H6" s="208">
        <v>2.883</v>
      </c>
      <c r="I6" s="204" t="s">
        <v>317</v>
      </c>
      <c r="J6" s="189">
        <v>1212050.0900000001</v>
      </c>
      <c r="K6" s="329">
        <f>ROUND(J6*M6,2)</f>
        <v>606025.05000000005</v>
      </c>
      <c r="L6" s="329">
        <f>J6-K6</f>
        <v>606025.04</v>
      </c>
      <c r="M6" s="236">
        <v>0.5</v>
      </c>
      <c r="N6" s="188">
        <v>0</v>
      </c>
      <c r="O6" s="188">
        <v>0</v>
      </c>
      <c r="P6" s="188">
        <f>K6</f>
        <v>606025.05000000005</v>
      </c>
      <c r="Q6" s="188">
        <v>0</v>
      </c>
      <c r="R6" s="245">
        <v>0</v>
      </c>
      <c r="S6" s="186">
        <v>0</v>
      </c>
      <c r="T6" s="186">
        <v>0</v>
      </c>
      <c r="U6" s="186">
        <v>0</v>
      </c>
      <c r="V6" s="186">
        <v>0</v>
      </c>
      <c r="W6" s="188">
        <v>0</v>
      </c>
      <c r="X6" s="269" t="b">
        <f t="shared" si="3"/>
        <v>1</v>
      </c>
      <c r="Y6" s="113">
        <f t="shared" si="4"/>
        <v>0.5</v>
      </c>
      <c r="Z6" s="114" t="s">
        <v>13</v>
      </c>
      <c r="AA6" s="114" t="b">
        <f t="shared" si="5"/>
        <v>1</v>
      </c>
      <c r="AB6" s="264"/>
      <c r="AC6" s="265"/>
      <c r="AD6" s="265"/>
    </row>
    <row r="7" spans="1:173" s="115" customFormat="1" ht="21.75" customHeight="1" x14ac:dyDescent="0.25">
      <c r="A7" s="411" t="s">
        <v>44</v>
      </c>
      <c r="B7" s="411"/>
      <c r="C7" s="411"/>
      <c r="D7" s="411"/>
      <c r="E7" s="411"/>
      <c r="F7" s="411"/>
      <c r="G7" s="411"/>
      <c r="H7" s="274">
        <f>SUM(H3:H6)</f>
        <v>8.7140000000000004</v>
      </c>
      <c r="I7" s="275" t="s">
        <v>13</v>
      </c>
      <c r="J7" s="276">
        <f>SUM(J3:J6)</f>
        <v>9948245.3099999987</v>
      </c>
      <c r="K7" s="162">
        <f>SUM(K3:K6)</f>
        <v>4974122.67</v>
      </c>
      <c r="L7" s="162">
        <f>SUM(L3:L6)</f>
        <v>4974122.6399999997</v>
      </c>
      <c r="M7" s="277" t="s">
        <v>13</v>
      </c>
      <c r="N7" s="278">
        <f>SUM(N3:N6)</f>
        <v>0</v>
      </c>
      <c r="O7" s="278">
        <f>SUM(O3:O6)</f>
        <v>0</v>
      </c>
      <c r="P7" s="278">
        <f>SUM(P3:P6)</f>
        <v>4974122.67</v>
      </c>
      <c r="Q7" s="278">
        <f t="shared" ref="Q7:W7" si="6">SUM(Q3:Q6)</f>
        <v>0</v>
      </c>
      <c r="R7" s="278">
        <f t="shared" si="6"/>
        <v>0</v>
      </c>
      <c r="S7" s="278">
        <f t="shared" si="6"/>
        <v>0</v>
      </c>
      <c r="T7" s="278">
        <f t="shared" si="6"/>
        <v>0</v>
      </c>
      <c r="U7" s="278">
        <f t="shared" si="6"/>
        <v>0</v>
      </c>
      <c r="V7" s="278">
        <f t="shared" si="6"/>
        <v>0</v>
      </c>
      <c r="W7" s="278">
        <f t="shared" si="6"/>
        <v>0</v>
      </c>
      <c r="X7" s="1" t="b">
        <f t="shared" si="0"/>
        <v>1</v>
      </c>
      <c r="Y7" s="34">
        <f t="shared" si="1"/>
        <v>0.5</v>
      </c>
      <c r="Z7" s="35" t="s">
        <v>13</v>
      </c>
      <c r="AA7" s="35" t="b">
        <f t="shared" si="2"/>
        <v>1</v>
      </c>
      <c r="AB7" s="369"/>
      <c r="AC7" s="370"/>
      <c r="AD7" s="370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2"/>
      <c r="DH7" s="122"/>
      <c r="DI7" s="122"/>
      <c r="DJ7" s="122"/>
      <c r="DK7" s="122"/>
      <c r="DL7" s="122"/>
      <c r="DM7" s="122"/>
      <c r="DN7" s="122"/>
      <c r="DO7" s="122"/>
      <c r="DP7" s="122"/>
      <c r="DQ7" s="122"/>
      <c r="DR7" s="122"/>
      <c r="DS7" s="122"/>
      <c r="DT7" s="122"/>
      <c r="DU7" s="122"/>
      <c r="DV7" s="122"/>
      <c r="DW7" s="122"/>
      <c r="DX7" s="122"/>
      <c r="DY7" s="122"/>
      <c r="DZ7" s="122"/>
      <c r="EA7" s="122"/>
      <c r="EB7" s="122"/>
      <c r="EC7" s="122"/>
      <c r="ED7" s="122"/>
      <c r="EE7" s="122"/>
      <c r="EF7" s="122"/>
      <c r="EG7" s="122"/>
      <c r="EH7" s="122"/>
      <c r="EI7" s="122"/>
      <c r="EJ7" s="122"/>
      <c r="EK7" s="122"/>
      <c r="EL7" s="122"/>
      <c r="EM7" s="122"/>
      <c r="EN7" s="122"/>
      <c r="EO7" s="122"/>
      <c r="EP7" s="122"/>
      <c r="EQ7" s="122"/>
      <c r="ER7" s="122"/>
      <c r="ES7" s="122"/>
      <c r="ET7" s="122"/>
      <c r="EU7" s="122"/>
      <c r="EV7" s="122"/>
      <c r="EW7" s="122"/>
      <c r="EX7" s="122"/>
      <c r="EY7" s="122"/>
      <c r="EZ7" s="122"/>
      <c r="FA7" s="122"/>
      <c r="FB7" s="122"/>
      <c r="FC7" s="122"/>
      <c r="FD7" s="122"/>
      <c r="FE7" s="122"/>
      <c r="FF7" s="122"/>
      <c r="FG7" s="122"/>
      <c r="FH7" s="122"/>
      <c r="FI7" s="122"/>
      <c r="FJ7" s="122"/>
      <c r="FK7" s="122"/>
      <c r="FL7" s="122"/>
      <c r="FM7" s="122"/>
      <c r="FN7" s="122"/>
      <c r="FO7" s="122"/>
      <c r="FP7" s="122"/>
      <c r="FQ7" s="122"/>
    </row>
    <row r="8" spans="1:173" ht="20.100000000000001" customHeight="1" x14ac:dyDescent="0.25">
      <c r="A8" s="411" t="s">
        <v>38</v>
      </c>
      <c r="B8" s="411"/>
      <c r="C8" s="411"/>
      <c r="D8" s="411"/>
      <c r="E8" s="411"/>
      <c r="F8" s="411"/>
      <c r="G8" s="411"/>
      <c r="H8" s="195">
        <f>SUMIF($C$3:$C$6,"N",H3:H6)</f>
        <v>8.7140000000000004</v>
      </c>
      <c r="I8" s="234" t="s">
        <v>13</v>
      </c>
      <c r="J8" s="161">
        <f>SUMIF($C$3:$C$6,"N",J3:J6)</f>
        <v>9948245.3099999987</v>
      </c>
      <c r="K8" s="161">
        <f>SUMIF($C$3:$C$6,"N",K3:K6)</f>
        <v>4974122.67</v>
      </c>
      <c r="L8" s="161">
        <f>SUMIF($C$3:$C$6,"N",L3:L6)</f>
        <v>4974122.6399999997</v>
      </c>
      <c r="M8" s="161" t="s">
        <v>13</v>
      </c>
      <c r="N8" s="161">
        <f>SUMIF($C$3:$C$6,"N",N3:N6)</f>
        <v>0</v>
      </c>
      <c r="O8" s="161">
        <f>SUMIF($C$3:$C$6,"N",O3:O6)</f>
        <v>0</v>
      </c>
      <c r="P8" s="161">
        <f>SUMIF($C$3:$C$6,"N",P3:P6)</f>
        <v>4974122.67</v>
      </c>
      <c r="Q8" s="161">
        <f t="shared" ref="Q8:W8" si="7">SUMIF($C$3:$C$6,"N",Q3:Q6)</f>
        <v>0</v>
      </c>
      <c r="R8" s="161">
        <f t="shared" si="7"/>
        <v>0</v>
      </c>
      <c r="S8" s="161">
        <f t="shared" si="7"/>
        <v>0</v>
      </c>
      <c r="T8" s="161">
        <f t="shared" si="7"/>
        <v>0</v>
      </c>
      <c r="U8" s="161">
        <f t="shared" si="7"/>
        <v>0</v>
      </c>
      <c r="V8" s="161">
        <f t="shared" si="7"/>
        <v>0</v>
      </c>
      <c r="W8" s="161">
        <f t="shared" si="7"/>
        <v>0</v>
      </c>
      <c r="X8" s="1" t="b">
        <f t="shared" si="0"/>
        <v>1</v>
      </c>
      <c r="Y8" s="34">
        <f t="shared" si="1"/>
        <v>0.5</v>
      </c>
      <c r="Z8" s="35" t="s">
        <v>13</v>
      </c>
      <c r="AA8" s="35" t="b">
        <f t="shared" si="2"/>
        <v>1</v>
      </c>
      <c r="AB8" s="371"/>
    </row>
    <row r="9" spans="1:173" ht="20.100000000000001" customHeight="1" x14ac:dyDescent="0.25">
      <c r="A9" s="411" t="s">
        <v>39</v>
      </c>
      <c r="B9" s="411"/>
      <c r="C9" s="411"/>
      <c r="D9" s="411"/>
      <c r="E9" s="411"/>
      <c r="F9" s="411"/>
      <c r="G9" s="411"/>
      <c r="H9" s="195">
        <f>SUMIF($C$3:$C$6,"W",H3:H6)</f>
        <v>0</v>
      </c>
      <c r="I9" s="234" t="s">
        <v>13</v>
      </c>
      <c r="J9" s="161">
        <f>SUMIF($C$3:$C$6,"W",J3:J6)</f>
        <v>0</v>
      </c>
      <c r="K9" s="161">
        <f>SUMIF($C$3:$C$6,"W",K3:K6)</f>
        <v>0</v>
      </c>
      <c r="L9" s="161">
        <f>SUMIF($C$3:$C$6,"W",L3:L6)</f>
        <v>0</v>
      </c>
      <c r="M9" s="161" t="s">
        <v>13</v>
      </c>
      <c r="N9" s="161">
        <f>SUMIF($C$3:$C$6,"W",N3:N6)</f>
        <v>0</v>
      </c>
      <c r="O9" s="161">
        <f>SUMIF($C$3:$C$6,"W",O3:O6)</f>
        <v>0</v>
      </c>
      <c r="P9" s="161">
        <f>SUMIF($C$3:$C$6,"W",P3:P6)</f>
        <v>0</v>
      </c>
      <c r="Q9" s="161">
        <f t="shared" ref="Q9:W9" si="8">SUMIF($C$3:$C$6,"W",Q3:Q6)</f>
        <v>0</v>
      </c>
      <c r="R9" s="161">
        <f t="shared" si="8"/>
        <v>0</v>
      </c>
      <c r="S9" s="161">
        <f t="shared" si="8"/>
        <v>0</v>
      </c>
      <c r="T9" s="161">
        <f t="shared" si="8"/>
        <v>0</v>
      </c>
      <c r="U9" s="161">
        <f t="shared" si="8"/>
        <v>0</v>
      </c>
      <c r="V9" s="161">
        <f t="shared" si="8"/>
        <v>0</v>
      </c>
      <c r="W9" s="161">
        <f t="shared" si="8"/>
        <v>0</v>
      </c>
      <c r="X9" s="1" t="b">
        <f t="shared" si="0"/>
        <v>1</v>
      </c>
      <c r="Y9" s="34" t="e">
        <f t="shared" si="1"/>
        <v>#DIV/0!</v>
      </c>
      <c r="Z9" s="35" t="s">
        <v>13</v>
      </c>
      <c r="AA9" s="35" t="b">
        <f t="shared" si="2"/>
        <v>1</v>
      </c>
      <c r="AB9" s="371"/>
    </row>
    <row r="10" spans="1:173" ht="20.100000000000001" customHeight="1" x14ac:dyDescent="0.25">
      <c r="A10" s="425" t="s">
        <v>39</v>
      </c>
      <c r="B10" s="425"/>
      <c r="C10" s="425"/>
      <c r="D10" s="425"/>
      <c r="E10" s="425"/>
      <c r="F10" s="425"/>
      <c r="G10" s="425"/>
      <c r="H10" s="214">
        <f>SUMIF($C$3:$C$6,"W",H3:H6)</f>
        <v>0</v>
      </c>
      <c r="I10" s="234" t="s">
        <v>13</v>
      </c>
      <c r="J10" s="215">
        <f>SUMIF($C$3:$C$6,"W",J3:J6)</f>
        <v>0</v>
      </c>
      <c r="K10" s="215">
        <f>SUMIF($C$3:$C$6,"W",K3:K6)</f>
        <v>0</v>
      </c>
      <c r="L10" s="215">
        <f>SUMIF($C$3:$C$6,"W",L3:L6)</f>
        <v>0</v>
      </c>
      <c r="M10" s="215" t="s">
        <v>13</v>
      </c>
      <c r="N10" s="215">
        <f>SUMIF($C$3:$C$6,"W",N3:N6)</f>
        <v>0</v>
      </c>
      <c r="O10" s="215">
        <f>SUMIF($C$3:$C$6,"W",O3:O6)</f>
        <v>0</v>
      </c>
      <c r="P10" s="215">
        <f>SUMIF($C$3:$C$6,"W",P3:P6)</f>
        <v>0</v>
      </c>
      <c r="Q10" s="215">
        <f t="shared" ref="Q10:W10" si="9">SUMIF($C$3:$C$6,"W",Q3:Q6)</f>
        <v>0</v>
      </c>
      <c r="R10" s="215">
        <f t="shared" si="9"/>
        <v>0</v>
      </c>
      <c r="S10" s="215">
        <f t="shared" si="9"/>
        <v>0</v>
      </c>
      <c r="T10" s="215">
        <f t="shared" si="9"/>
        <v>0</v>
      </c>
      <c r="U10" s="215">
        <f t="shared" si="9"/>
        <v>0</v>
      </c>
      <c r="V10" s="215">
        <f t="shared" si="9"/>
        <v>0</v>
      </c>
      <c r="W10" s="215">
        <f t="shared" si="9"/>
        <v>0</v>
      </c>
      <c r="X10" s="1" t="b">
        <f t="shared" si="0"/>
        <v>1</v>
      </c>
      <c r="Y10" s="34" t="e">
        <f t="shared" si="1"/>
        <v>#DIV/0!</v>
      </c>
      <c r="Z10" s="35" t="s">
        <v>13</v>
      </c>
      <c r="AA10" s="35" t="b">
        <f t="shared" si="2"/>
        <v>1</v>
      </c>
      <c r="AB10" s="371"/>
    </row>
    <row r="11" spans="1:173" x14ac:dyDescent="0.25">
      <c r="A11" s="29"/>
      <c r="P11" s="118"/>
    </row>
    <row r="12" spans="1:173" x14ac:dyDescent="0.25">
      <c r="A12" s="23" t="s">
        <v>24</v>
      </c>
      <c r="O12" s="129"/>
      <c r="P12" s="27"/>
    </row>
    <row r="13" spans="1:173" x14ac:dyDescent="0.25">
      <c r="A13" s="24" t="s">
        <v>25</v>
      </c>
      <c r="P13" s="27"/>
    </row>
    <row r="14" spans="1:173" x14ac:dyDescent="0.25">
      <c r="A14" s="23" t="s">
        <v>35</v>
      </c>
    </row>
    <row r="15" spans="1:173" x14ac:dyDescent="0.25">
      <c r="A15" s="30"/>
    </row>
  </sheetData>
  <mergeCells count="18">
    <mergeCell ref="A10:G10"/>
    <mergeCell ref="I1:I2"/>
    <mergeCell ref="A1:A2"/>
    <mergeCell ref="B1:B2"/>
    <mergeCell ref="C1:C2"/>
    <mergeCell ref="F1:F2"/>
    <mergeCell ref="G1:G2"/>
    <mergeCell ref="H1:H2"/>
    <mergeCell ref="D1:D2"/>
    <mergeCell ref="A8:G8"/>
    <mergeCell ref="E1:E2"/>
    <mergeCell ref="A9:G9"/>
    <mergeCell ref="A7:G7"/>
    <mergeCell ref="N1:Q1"/>
    <mergeCell ref="J1:J2"/>
    <mergeCell ref="K1:K2"/>
    <mergeCell ref="L1:L2"/>
    <mergeCell ref="M1:M2"/>
  </mergeCells>
  <conditionalFormatting sqref="AA10 X3:AD7">
    <cfRule type="cellIs" dxfId="30" priority="27" operator="equal">
      <formula>FALSE</formula>
    </cfRule>
  </conditionalFormatting>
  <conditionalFormatting sqref="AB10">
    <cfRule type="cellIs" dxfId="29" priority="32" operator="equal">
      <formula>FALSE</formula>
    </cfRule>
  </conditionalFormatting>
  <conditionalFormatting sqref="AB10">
    <cfRule type="cellIs" dxfId="28" priority="31" operator="equal">
      <formula>FALSE</formula>
    </cfRule>
  </conditionalFormatting>
  <conditionalFormatting sqref="Y10:Z10">
    <cfRule type="cellIs" dxfId="27" priority="30" operator="equal">
      <formula>FALSE</formula>
    </cfRule>
  </conditionalFormatting>
  <conditionalFormatting sqref="X10">
    <cfRule type="cellIs" dxfId="26" priority="29" operator="equal">
      <formula>FALSE</formula>
    </cfRule>
  </conditionalFormatting>
  <conditionalFormatting sqref="X10:Z10 AB3:AC7 X3:Z7">
    <cfRule type="containsText" dxfId="25" priority="28" operator="containsText" text="fałsz">
      <formula>NOT(ISERROR(SEARCH("fałsz",X3)))</formula>
    </cfRule>
  </conditionalFormatting>
  <conditionalFormatting sqref="AA10">
    <cfRule type="cellIs" dxfId="24" priority="26" operator="equal">
      <formula>FALSE</formula>
    </cfRule>
  </conditionalFormatting>
  <conditionalFormatting sqref="AB8:AB9">
    <cfRule type="cellIs" dxfId="23" priority="25" operator="equal">
      <formula>FALSE</formula>
    </cfRule>
  </conditionalFormatting>
  <conditionalFormatting sqref="AB8:AB9">
    <cfRule type="cellIs" dxfId="22" priority="24" operator="equal">
      <formula>FALSE</formula>
    </cfRule>
  </conditionalFormatting>
  <conditionalFormatting sqref="Y8:Z8">
    <cfRule type="cellIs" dxfId="21" priority="23" operator="equal">
      <formula>FALSE</formula>
    </cfRule>
  </conditionalFormatting>
  <conditionalFormatting sqref="X8">
    <cfRule type="cellIs" dxfId="20" priority="22" operator="equal">
      <formula>FALSE</formula>
    </cfRule>
  </conditionalFormatting>
  <conditionalFormatting sqref="X8:Z8">
    <cfRule type="containsText" dxfId="19" priority="21" operator="containsText" text="fałsz">
      <formula>NOT(ISERROR(SEARCH("fałsz",X8)))</formula>
    </cfRule>
  </conditionalFormatting>
  <conditionalFormatting sqref="AA8">
    <cfRule type="cellIs" dxfId="18" priority="20" operator="equal">
      <formula>FALSE</formula>
    </cfRule>
  </conditionalFormatting>
  <conditionalFormatting sqref="AA8">
    <cfRule type="cellIs" dxfId="17" priority="19" operator="equal">
      <formula>FALSE</formula>
    </cfRule>
  </conditionalFormatting>
  <conditionalFormatting sqref="Y9:Z9">
    <cfRule type="cellIs" dxfId="16" priority="18" operator="equal">
      <formula>FALSE</formula>
    </cfRule>
  </conditionalFormatting>
  <conditionalFormatting sqref="X9">
    <cfRule type="cellIs" dxfId="15" priority="17" operator="equal">
      <formula>FALSE</formula>
    </cfRule>
  </conditionalFormatting>
  <conditionalFormatting sqref="X9:Z9">
    <cfRule type="containsText" dxfId="14" priority="16" operator="containsText" text="fałsz">
      <formula>NOT(ISERROR(SEARCH("fałsz",X9)))</formula>
    </cfRule>
  </conditionalFormatting>
  <conditionalFormatting sqref="AA9">
    <cfRule type="cellIs" dxfId="13" priority="15" operator="equal">
      <formula>FALSE</formula>
    </cfRule>
  </conditionalFormatting>
  <conditionalFormatting sqref="AA9">
    <cfRule type="cellIs" dxfId="12" priority="14" operator="equal">
      <formula>FALSE</formula>
    </cfRule>
  </conditionalFormatting>
  <dataValidations count="2">
    <dataValidation type="list" allowBlank="1" showInputMessage="1" showErrorMessage="1" sqref="G3:G6">
      <formula1>"B,P,R"</formula1>
    </dataValidation>
    <dataValidation type="list" allowBlank="1" showInputMessage="1" showErrorMessage="1" sqref="C3:C6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66" fitToHeight="0" orientation="landscape" r:id="rId1"/>
  <headerFooter>
    <oddHeader>&amp;LWojewództwo&amp;K000000 Opolskie&amp;K01+000 -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5"/>
  <sheetViews>
    <sheetView showGridLines="0" view="pageBreakPreview" topLeftCell="A13" zoomScaleNormal="78" zoomScaleSheetLayoutView="100" workbookViewId="0">
      <selection activeCell="H8" sqref="H8"/>
    </sheetView>
  </sheetViews>
  <sheetFormatPr defaultColWidth="9.140625" defaultRowHeight="15" x14ac:dyDescent="0.25"/>
  <cols>
    <col min="1" max="1" width="9.28515625" style="8" customWidth="1"/>
    <col min="2" max="2" width="14.28515625" style="8" customWidth="1"/>
    <col min="3" max="3" width="8" style="8" customWidth="1"/>
    <col min="4" max="4" width="21" style="8" customWidth="1"/>
    <col min="5" max="5" width="7" style="8" bestFit="1" customWidth="1"/>
    <col min="6" max="6" width="13.5703125" style="8" customWidth="1"/>
    <col min="7" max="7" width="37.5703125" style="8" customWidth="1"/>
    <col min="8" max="8" width="17" style="8" customWidth="1"/>
    <col min="9" max="9" width="9.42578125" style="8" customWidth="1"/>
    <col min="10" max="10" width="14.42578125" style="140" customWidth="1"/>
    <col min="11" max="11" width="15.7109375" style="326" customWidth="1"/>
    <col min="12" max="13" width="15.7109375" style="327" customWidth="1"/>
    <col min="14" max="14" width="15.140625" style="1" customWidth="1"/>
    <col min="15" max="15" width="10.140625" style="8" customWidth="1"/>
    <col min="16" max="16" width="10.7109375" style="8" customWidth="1"/>
    <col min="17" max="17" width="14.42578125" style="8" customWidth="1"/>
    <col min="18" max="18" width="13.140625" style="8" customWidth="1"/>
    <col min="19" max="19" width="11.28515625" style="8" customWidth="1"/>
    <col min="20" max="20" width="9.85546875" style="8" customWidth="1"/>
    <col min="21" max="21" width="10.7109375" style="8" customWidth="1"/>
    <col min="22" max="22" width="8.5703125" style="8" customWidth="1"/>
    <col min="23" max="23" width="10" style="8" customWidth="1"/>
    <col min="24" max="24" width="9" style="8" customWidth="1"/>
    <col min="25" max="28" width="15.7109375" style="232" customWidth="1"/>
    <col min="29" max="16384" width="9.140625" style="8"/>
  </cols>
  <sheetData>
    <row r="1" spans="1:28" ht="20.100000000000001" customHeight="1" x14ac:dyDescent="0.25">
      <c r="A1" s="411" t="s">
        <v>4</v>
      </c>
      <c r="B1" s="411" t="s">
        <v>5</v>
      </c>
      <c r="C1" s="420" t="s">
        <v>32</v>
      </c>
      <c r="D1" s="416" t="s">
        <v>6</v>
      </c>
      <c r="E1" s="132"/>
      <c r="F1" s="132"/>
      <c r="G1" s="165"/>
      <c r="H1" s="432" t="s">
        <v>26</v>
      </c>
      <c r="I1" s="431" t="s">
        <v>268</v>
      </c>
      <c r="J1" s="416" t="s">
        <v>290</v>
      </c>
      <c r="K1" s="412" t="s">
        <v>8</v>
      </c>
      <c r="L1" s="411" t="s">
        <v>9</v>
      </c>
      <c r="M1" s="416" t="s">
        <v>12</v>
      </c>
      <c r="N1" s="411" t="s">
        <v>10</v>
      </c>
      <c r="O1" s="413" t="s">
        <v>11</v>
      </c>
      <c r="P1" s="414"/>
      <c r="Q1" s="414"/>
      <c r="R1" s="414"/>
      <c r="S1" s="230"/>
      <c r="T1" s="230"/>
      <c r="U1" s="230"/>
      <c r="V1" s="230"/>
      <c r="W1" s="230"/>
      <c r="X1" s="231"/>
    </row>
    <row r="2" spans="1:28" ht="33" customHeight="1" x14ac:dyDescent="0.25">
      <c r="A2" s="411"/>
      <c r="B2" s="411"/>
      <c r="C2" s="421"/>
      <c r="D2" s="417"/>
      <c r="E2" s="133" t="s">
        <v>31</v>
      </c>
      <c r="F2" s="133" t="s">
        <v>14</v>
      </c>
      <c r="G2" s="133" t="s">
        <v>7</v>
      </c>
      <c r="H2" s="433"/>
      <c r="I2" s="417"/>
      <c r="J2" s="417"/>
      <c r="K2" s="412"/>
      <c r="L2" s="411"/>
      <c r="M2" s="417"/>
      <c r="N2" s="411"/>
      <c r="O2" s="134">
        <v>2019</v>
      </c>
      <c r="P2" s="134">
        <v>2020</v>
      </c>
      <c r="Q2" s="134">
        <v>2021</v>
      </c>
      <c r="R2" s="134">
        <v>2022</v>
      </c>
      <c r="S2" s="134">
        <v>2023</v>
      </c>
      <c r="T2" s="134">
        <v>2024</v>
      </c>
      <c r="U2" s="134">
        <v>2025</v>
      </c>
      <c r="V2" s="134">
        <v>2026</v>
      </c>
      <c r="W2" s="134">
        <v>2027</v>
      </c>
      <c r="X2" s="134">
        <v>2028</v>
      </c>
      <c r="Y2" s="296" t="s">
        <v>27</v>
      </c>
      <c r="Z2" s="296" t="s">
        <v>28</v>
      </c>
      <c r="AA2" s="296" t="s">
        <v>29</v>
      </c>
      <c r="AB2" s="293" t="s">
        <v>30</v>
      </c>
    </row>
    <row r="3" spans="1:28" ht="52.5" customHeight="1" x14ac:dyDescent="0.25">
      <c r="A3" s="141">
        <v>1</v>
      </c>
      <c r="B3" s="150" t="s">
        <v>340</v>
      </c>
      <c r="C3" s="153"/>
      <c r="D3" s="150" t="s">
        <v>158</v>
      </c>
      <c r="E3" s="149">
        <v>1608052</v>
      </c>
      <c r="F3" s="149" t="s">
        <v>56</v>
      </c>
      <c r="G3" s="254" t="s">
        <v>248</v>
      </c>
      <c r="H3" s="149" t="s">
        <v>46</v>
      </c>
      <c r="I3" s="171"/>
      <c r="J3" s="170" t="s">
        <v>293</v>
      </c>
      <c r="K3" s="167">
        <v>0</v>
      </c>
      <c r="L3" s="167">
        <v>0</v>
      </c>
      <c r="M3" s="167">
        <v>0</v>
      </c>
      <c r="N3" s="131">
        <v>0.7</v>
      </c>
      <c r="O3" s="186">
        <v>0</v>
      </c>
      <c r="P3" s="186">
        <v>0</v>
      </c>
      <c r="Q3" s="237">
        <f t="shared" ref="Q3:Q9" si="0">L3</f>
        <v>0</v>
      </c>
      <c r="R3" s="186">
        <v>0</v>
      </c>
      <c r="S3" s="186">
        <v>0</v>
      </c>
      <c r="T3" s="186">
        <v>0</v>
      </c>
      <c r="U3" s="186">
        <v>0</v>
      </c>
      <c r="V3" s="186">
        <v>0</v>
      </c>
      <c r="W3" s="188">
        <v>0</v>
      </c>
      <c r="X3" s="188">
        <v>0</v>
      </c>
      <c r="Y3" s="296" t="b">
        <f t="shared" ref="Y3" si="1">L3=SUM(O3:X3)</f>
        <v>1</v>
      </c>
      <c r="Z3" s="297" t="e">
        <f t="shared" ref="Z3" si="2">ROUND(L3/K3,4)</f>
        <v>#DIV/0!</v>
      </c>
      <c r="AA3" s="298" t="e">
        <f t="shared" ref="AA3" si="3">Z3=N3</f>
        <v>#DIV/0!</v>
      </c>
      <c r="AB3" s="298" t="b">
        <f t="shared" ref="AB3" si="4">K3=L3+M3</f>
        <v>1</v>
      </c>
    </row>
    <row r="4" spans="1:28" ht="49.5" customHeight="1" x14ac:dyDescent="0.25">
      <c r="A4" s="141">
        <v>2</v>
      </c>
      <c r="B4" s="150" t="s">
        <v>341</v>
      </c>
      <c r="C4" s="149"/>
      <c r="D4" s="150" t="s">
        <v>165</v>
      </c>
      <c r="E4" s="149">
        <v>1611033</v>
      </c>
      <c r="F4" s="149" t="s">
        <v>57</v>
      </c>
      <c r="G4" s="150" t="s">
        <v>247</v>
      </c>
      <c r="H4" s="149" t="s">
        <v>46</v>
      </c>
      <c r="I4" s="171"/>
      <c r="J4" s="170" t="s">
        <v>275</v>
      </c>
      <c r="K4" s="167">
        <v>0</v>
      </c>
      <c r="L4" s="167">
        <v>0</v>
      </c>
      <c r="M4" s="167">
        <v>0</v>
      </c>
      <c r="N4" s="131">
        <v>0.7</v>
      </c>
      <c r="O4" s="186">
        <v>0</v>
      </c>
      <c r="P4" s="186">
        <v>0</v>
      </c>
      <c r="Q4" s="237">
        <f t="shared" si="0"/>
        <v>0</v>
      </c>
      <c r="R4" s="186">
        <v>0</v>
      </c>
      <c r="S4" s="186">
        <v>0</v>
      </c>
      <c r="T4" s="186">
        <v>0</v>
      </c>
      <c r="U4" s="186">
        <v>0</v>
      </c>
      <c r="V4" s="186">
        <v>0</v>
      </c>
      <c r="W4" s="188">
        <v>0</v>
      </c>
      <c r="X4" s="188">
        <v>0</v>
      </c>
      <c r="Y4" s="296" t="b">
        <f t="shared" ref="Y4:Y22" si="5">L4=SUM(O4:X4)</f>
        <v>1</v>
      </c>
      <c r="Z4" s="297" t="e">
        <f t="shared" ref="Z4:Z22" si="6">ROUND(L4/K4,4)</f>
        <v>#DIV/0!</v>
      </c>
      <c r="AA4" s="298" t="e">
        <f t="shared" ref="AA4:AA22" si="7">Z4=N4</f>
        <v>#DIV/0!</v>
      </c>
      <c r="AB4" s="298" t="b">
        <f t="shared" ref="AB4:AB22" si="8">K4=L4+M4</f>
        <v>1</v>
      </c>
    </row>
    <row r="5" spans="1:28" ht="51.75" customHeight="1" x14ac:dyDescent="0.25">
      <c r="A5" s="141">
        <v>3</v>
      </c>
      <c r="B5" s="150" t="s">
        <v>342</v>
      </c>
      <c r="C5" s="153"/>
      <c r="D5" s="150" t="s">
        <v>157</v>
      </c>
      <c r="E5" s="149">
        <v>1611053</v>
      </c>
      <c r="F5" s="149" t="s">
        <v>57</v>
      </c>
      <c r="G5" s="150" t="s">
        <v>316</v>
      </c>
      <c r="H5" s="149" t="s">
        <v>270</v>
      </c>
      <c r="I5" s="171"/>
      <c r="J5" s="170" t="s">
        <v>292</v>
      </c>
      <c r="K5" s="167">
        <v>0</v>
      </c>
      <c r="L5" s="167">
        <v>0</v>
      </c>
      <c r="M5" s="167">
        <v>0</v>
      </c>
      <c r="N5" s="131">
        <v>0.6</v>
      </c>
      <c r="O5" s="186">
        <v>0</v>
      </c>
      <c r="P5" s="186">
        <v>0</v>
      </c>
      <c r="Q5" s="237">
        <f t="shared" si="0"/>
        <v>0</v>
      </c>
      <c r="R5" s="186">
        <v>0</v>
      </c>
      <c r="S5" s="186">
        <v>0</v>
      </c>
      <c r="T5" s="186">
        <v>0</v>
      </c>
      <c r="U5" s="186">
        <v>0</v>
      </c>
      <c r="V5" s="186">
        <v>0</v>
      </c>
      <c r="W5" s="188">
        <v>0</v>
      </c>
      <c r="X5" s="188">
        <v>0</v>
      </c>
      <c r="Y5" s="296" t="b">
        <f t="shared" si="5"/>
        <v>1</v>
      </c>
      <c r="Z5" s="297" t="e">
        <f t="shared" si="6"/>
        <v>#DIV/0!</v>
      </c>
      <c r="AA5" s="298" t="e">
        <f t="shared" si="7"/>
        <v>#DIV/0!</v>
      </c>
      <c r="AB5" s="298" t="b">
        <f t="shared" si="8"/>
        <v>1</v>
      </c>
    </row>
    <row r="6" spans="1:28" ht="52.5" customHeight="1" x14ac:dyDescent="0.25">
      <c r="A6" s="141">
        <v>4</v>
      </c>
      <c r="B6" s="150" t="s">
        <v>343</v>
      </c>
      <c r="C6" s="153"/>
      <c r="D6" s="150" t="s">
        <v>77</v>
      </c>
      <c r="E6" s="149">
        <v>1607092</v>
      </c>
      <c r="F6" s="149" t="s">
        <v>45</v>
      </c>
      <c r="G6" s="150" t="s">
        <v>249</v>
      </c>
      <c r="H6" s="149" t="s">
        <v>46</v>
      </c>
      <c r="I6" s="171"/>
      <c r="J6" s="170" t="s">
        <v>292</v>
      </c>
      <c r="K6" s="167">
        <v>0</v>
      </c>
      <c r="L6" s="167">
        <v>0</v>
      </c>
      <c r="M6" s="167">
        <v>0</v>
      </c>
      <c r="N6" s="131">
        <v>0.7</v>
      </c>
      <c r="O6" s="186">
        <v>0</v>
      </c>
      <c r="P6" s="186">
        <v>0</v>
      </c>
      <c r="Q6" s="237">
        <f t="shared" si="0"/>
        <v>0</v>
      </c>
      <c r="R6" s="186">
        <v>0</v>
      </c>
      <c r="S6" s="186">
        <v>0</v>
      </c>
      <c r="T6" s="186">
        <v>0</v>
      </c>
      <c r="U6" s="186">
        <v>0</v>
      </c>
      <c r="V6" s="186">
        <v>0</v>
      </c>
      <c r="W6" s="188">
        <v>0</v>
      </c>
      <c r="X6" s="188">
        <v>0</v>
      </c>
      <c r="Y6" s="296" t="b">
        <f t="shared" si="5"/>
        <v>1</v>
      </c>
      <c r="Z6" s="297" t="e">
        <f t="shared" si="6"/>
        <v>#DIV/0!</v>
      </c>
      <c r="AA6" s="298" t="e">
        <f t="shared" si="7"/>
        <v>#DIV/0!</v>
      </c>
      <c r="AB6" s="298" t="b">
        <f t="shared" si="8"/>
        <v>1</v>
      </c>
    </row>
    <row r="7" spans="1:28" ht="48" customHeight="1" x14ac:dyDescent="0.25">
      <c r="A7" s="141">
        <v>5</v>
      </c>
      <c r="B7" s="150" t="s">
        <v>352</v>
      </c>
      <c r="C7" s="153"/>
      <c r="D7" s="150" t="s">
        <v>91</v>
      </c>
      <c r="E7" s="149">
        <v>1602033</v>
      </c>
      <c r="F7" s="149" t="s">
        <v>83</v>
      </c>
      <c r="G7" s="150" t="s">
        <v>250</v>
      </c>
      <c r="H7" s="149" t="s">
        <v>46</v>
      </c>
      <c r="I7" s="171"/>
      <c r="J7" s="170" t="s">
        <v>277</v>
      </c>
      <c r="K7" s="253">
        <v>0</v>
      </c>
      <c r="L7" s="167">
        <v>0</v>
      </c>
      <c r="M7" s="167">
        <v>0</v>
      </c>
      <c r="N7" s="131">
        <v>0.7</v>
      </c>
      <c r="O7" s="186">
        <v>0</v>
      </c>
      <c r="P7" s="186">
        <v>0</v>
      </c>
      <c r="Q7" s="237">
        <f t="shared" si="0"/>
        <v>0</v>
      </c>
      <c r="R7" s="186">
        <v>0</v>
      </c>
      <c r="S7" s="186">
        <v>0</v>
      </c>
      <c r="T7" s="186">
        <v>0</v>
      </c>
      <c r="U7" s="186">
        <v>0</v>
      </c>
      <c r="V7" s="186">
        <v>0</v>
      </c>
      <c r="W7" s="188">
        <v>0</v>
      </c>
      <c r="X7" s="188">
        <v>0</v>
      </c>
      <c r="Y7" s="296" t="b">
        <f t="shared" si="5"/>
        <v>1</v>
      </c>
      <c r="Z7" s="297" t="e">
        <f t="shared" si="6"/>
        <v>#DIV/0!</v>
      </c>
      <c r="AA7" s="298" t="e">
        <f t="shared" si="7"/>
        <v>#DIV/0!</v>
      </c>
      <c r="AB7" s="298" t="b">
        <f t="shared" si="8"/>
        <v>1</v>
      </c>
    </row>
    <row r="8" spans="1:28" ht="39.950000000000003" customHeight="1" x14ac:dyDescent="0.25">
      <c r="A8" s="141">
        <v>6</v>
      </c>
      <c r="B8" s="148" t="s">
        <v>161</v>
      </c>
      <c r="C8" s="153" t="s">
        <v>52</v>
      </c>
      <c r="D8" s="150" t="s">
        <v>81</v>
      </c>
      <c r="E8" s="149">
        <v>1602043</v>
      </c>
      <c r="F8" s="149" t="s">
        <v>83</v>
      </c>
      <c r="G8" s="150" t="s">
        <v>251</v>
      </c>
      <c r="H8" s="149" t="s">
        <v>272</v>
      </c>
      <c r="I8" s="171">
        <v>0.16</v>
      </c>
      <c r="J8" s="170" t="s">
        <v>294</v>
      </c>
      <c r="K8" s="253">
        <v>330019.34000000003</v>
      </c>
      <c r="L8" s="167">
        <f t="shared" ref="L8:L22" si="9">ROUND(K8*N8,2)</f>
        <v>231013.54</v>
      </c>
      <c r="M8" s="167">
        <f t="shared" ref="M8:M21" si="10">K8-L8</f>
        <v>99005.800000000017</v>
      </c>
      <c r="N8" s="131">
        <v>0.7</v>
      </c>
      <c r="O8" s="186">
        <v>0</v>
      </c>
      <c r="P8" s="186">
        <v>0</v>
      </c>
      <c r="Q8" s="237">
        <f t="shared" si="0"/>
        <v>231013.54</v>
      </c>
      <c r="R8" s="186">
        <v>0</v>
      </c>
      <c r="S8" s="186">
        <v>0</v>
      </c>
      <c r="T8" s="186">
        <v>0</v>
      </c>
      <c r="U8" s="186">
        <v>0</v>
      </c>
      <c r="V8" s="186">
        <v>0</v>
      </c>
      <c r="W8" s="188">
        <v>0</v>
      </c>
      <c r="X8" s="188">
        <v>0</v>
      </c>
      <c r="Y8" s="296" t="b">
        <f t="shared" si="5"/>
        <v>1</v>
      </c>
      <c r="Z8" s="297">
        <f t="shared" si="6"/>
        <v>0.7</v>
      </c>
      <c r="AA8" s="298" t="b">
        <f t="shared" si="7"/>
        <v>1</v>
      </c>
      <c r="AB8" s="298" t="b">
        <f t="shared" si="8"/>
        <v>1</v>
      </c>
    </row>
    <row r="9" spans="1:28" ht="39.950000000000003" customHeight="1" x14ac:dyDescent="0.25">
      <c r="A9" s="141">
        <v>7</v>
      </c>
      <c r="B9" s="148" t="s">
        <v>162</v>
      </c>
      <c r="C9" s="153" t="s">
        <v>52</v>
      </c>
      <c r="D9" s="150" t="s">
        <v>68</v>
      </c>
      <c r="E9" s="149">
        <v>1609092</v>
      </c>
      <c r="F9" s="149" t="s">
        <v>55</v>
      </c>
      <c r="G9" s="150" t="s">
        <v>253</v>
      </c>
      <c r="H9" s="149" t="s">
        <v>46</v>
      </c>
      <c r="I9" s="171">
        <v>0.56299999999999994</v>
      </c>
      <c r="J9" s="170" t="s">
        <v>277</v>
      </c>
      <c r="K9" s="253">
        <v>755409.49</v>
      </c>
      <c r="L9" s="167">
        <f t="shared" si="9"/>
        <v>528786.64</v>
      </c>
      <c r="M9" s="167">
        <f t="shared" si="10"/>
        <v>226622.84999999998</v>
      </c>
      <c r="N9" s="131">
        <v>0.7</v>
      </c>
      <c r="O9" s="186">
        <v>0</v>
      </c>
      <c r="P9" s="186">
        <v>0</v>
      </c>
      <c r="Q9" s="237">
        <f t="shared" si="0"/>
        <v>528786.64</v>
      </c>
      <c r="R9" s="186">
        <v>0</v>
      </c>
      <c r="S9" s="186">
        <v>0</v>
      </c>
      <c r="T9" s="186">
        <v>0</v>
      </c>
      <c r="U9" s="186">
        <v>0</v>
      </c>
      <c r="V9" s="186">
        <v>0</v>
      </c>
      <c r="W9" s="188">
        <v>0</v>
      </c>
      <c r="X9" s="188">
        <v>0</v>
      </c>
      <c r="Y9" s="296" t="b">
        <f t="shared" si="5"/>
        <v>1</v>
      </c>
      <c r="Z9" s="297">
        <f t="shared" si="6"/>
        <v>0.7</v>
      </c>
      <c r="AA9" s="298" t="b">
        <f t="shared" si="7"/>
        <v>1</v>
      </c>
      <c r="AB9" s="298" t="b">
        <f t="shared" si="8"/>
        <v>1</v>
      </c>
    </row>
    <row r="10" spans="1:28" ht="65.25" customHeight="1" x14ac:dyDescent="0.25">
      <c r="A10" s="372">
        <v>8</v>
      </c>
      <c r="B10" s="155" t="s">
        <v>164</v>
      </c>
      <c r="C10" s="156" t="s">
        <v>89</v>
      </c>
      <c r="D10" s="157" t="s">
        <v>82</v>
      </c>
      <c r="E10" s="128">
        <v>1604023</v>
      </c>
      <c r="F10" s="128" t="s">
        <v>84</v>
      </c>
      <c r="G10" s="157" t="s">
        <v>254</v>
      </c>
      <c r="H10" s="128" t="s">
        <v>270</v>
      </c>
      <c r="I10" s="175">
        <v>0.77</v>
      </c>
      <c r="J10" s="176" t="s">
        <v>295</v>
      </c>
      <c r="K10" s="302">
        <v>3546600.25</v>
      </c>
      <c r="L10" s="303">
        <f t="shared" si="9"/>
        <v>2482620.1800000002</v>
      </c>
      <c r="M10" s="303">
        <f t="shared" si="10"/>
        <v>1063980.0699999998</v>
      </c>
      <c r="N10" s="158">
        <v>0.7</v>
      </c>
      <c r="O10" s="187">
        <v>0</v>
      </c>
      <c r="P10" s="187">
        <v>0</v>
      </c>
      <c r="Q10" s="206">
        <f>ROUND(N10*2891289.68,2)</f>
        <v>2023902.78</v>
      </c>
      <c r="R10" s="206">
        <f>ROUND(N10*655310.57,2)</f>
        <v>458717.4</v>
      </c>
      <c r="S10" s="186">
        <v>0</v>
      </c>
      <c r="T10" s="186">
        <v>0</v>
      </c>
      <c r="U10" s="186">
        <v>0</v>
      </c>
      <c r="V10" s="186">
        <v>0</v>
      </c>
      <c r="W10" s="188">
        <v>0</v>
      </c>
      <c r="X10" s="188">
        <v>0</v>
      </c>
      <c r="Y10" s="296" t="b">
        <f t="shared" si="5"/>
        <v>1</v>
      </c>
      <c r="Z10" s="297">
        <f t="shared" si="6"/>
        <v>0.7</v>
      </c>
      <c r="AA10" s="298" t="b">
        <f t="shared" si="7"/>
        <v>1</v>
      </c>
      <c r="AB10" s="298" t="b">
        <f t="shared" si="8"/>
        <v>1</v>
      </c>
    </row>
    <row r="11" spans="1:28" ht="39.950000000000003" customHeight="1" x14ac:dyDescent="0.25">
      <c r="A11" s="141">
        <v>9</v>
      </c>
      <c r="B11" s="148" t="s">
        <v>163</v>
      </c>
      <c r="C11" s="153" t="s">
        <v>52</v>
      </c>
      <c r="D11" s="150" t="s">
        <v>166</v>
      </c>
      <c r="E11" s="149">
        <v>1603052</v>
      </c>
      <c r="F11" s="149" t="s">
        <v>60</v>
      </c>
      <c r="G11" s="150" t="s">
        <v>255</v>
      </c>
      <c r="H11" s="149" t="s">
        <v>46</v>
      </c>
      <c r="I11" s="171">
        <v>0.96899999999999997</v>
      </c>
      <c r="J11" s="170" t="s">
        <v>277</v>
      </c>
      <c r="K11" s="253">
        <v>1103098.03</v>
      </c>
      <c r="L11" s="167">
        <f t="shared" si="9"/>
        <v>551549.02</v>
      </c>
      <c r="M11" s="167">
        <f t="shared" si="10"/>
        <v>551549.01</v>
      </c>
      <c r="N11" s="131">
        <v>0.5</v>
      </c>
      <c r="O11" s="186">
        <v>0</v>
      </c>
      <c r="P11" s="186">
        <v>0</v>
      </c>
      <c r="Q11" s="237">
        <f t="shared" ref="Q11:Q20" si="11">L11</f>
        <v>551549.02</v>
      </c>
      <c r="R11" s="186">
        <v>0</v>
      </c>
      <c r="S11" s="186">
        <v>0</v>
      </c>
      <c r="T11" s="186">
        <v>0</v>
      </c>
      <c r="U11" s="186">
        <v>0</v>
      </c>
      <c r="V11" s="186">
        <v>0</v>
      </c>
      <c r="W11" s="188">
        <v>0</v>
      </c>
      <c r="X11" s="188">
        <v>0</v>
      </c>
      <c r="Y11" s="296" t="b">
        <f t="shared" si="5"/>
        <v>1</v>
      </c>
      <c r="Z11" s="297">
        <f t="shared" si="6"/>
        <v>0.5</v>
      </c>
      <c r="AA11" s="298" t="b">
        <f t="shared" si="7"/>
        <v>1</v>
      </c>
      <c r="AB11" s="298" t="b">
        <f t="shared" si="8"/>
        <v>1</v>
      </c>
    </row>
    <row r="12" spans="1:28" ht="39.950000000000003" customHeight="1" x14ac:dyDescent="0.25">
      <c r="A12" s="141">
        <v>10</v>
      </c>
      <c r="B12" s="148" t="s">
        <v>167</v>
      </c>
      <c r="C12" s="153" t="s">
        <v>52</v>
      </c>
      <c r="D12" s="150" t="s">
        <v>178</v>
      </c>
      <c r="E12" s="149">
        <v>1605053</v>
      </c>
      <c r="F12" s="149" t="s">
        <v>59</v>
      </c>
      <c r="G12" s="150" t="s">
        <v>256</v>
      </c>
      <c r="H12" s="149" t="s">
        <v>46</v>
      </c>
      <c r="I12" s="171">
        <v>0.92500000000000004</v>
      </c>
      <c r="J12" s="170" t="s">
        <v>280</v>
      </c>
      <c r="K12" s="253">
        <v>3516367.6</v>
      </c>
      <c r="L12" s="167">
        <f t="shared" si="9"/>
        <v>1758183.8</v>
      </c>
      <c r="M12" s="167">
        <f t="shared" si="10"/>
        <v>1758183.8</v>
      </c>
      <c r="N12" s="131">
        <v>0.5</v>
      </c>
      <c r="O12" s="186">
        <v>0</v>
      </c>
      <c r="P12" s="186">
        <v>0</v>
      </c>
      <c r="Q12" s="237">
        <f t="shared" si="11"/>
        <v>1758183.8</v>
      </c>
      <c r="R12" s="186">
        <v>0</v>
      </c>
      <c r="S12" s="186">
        <v>0</v>
      </c>
      <c r="T12" s="186">
        <v>0</v>
      </c>
      <c r="U12" s="186">
        <v>0</v>
      </c>
      <c r="V12" s="186">
        <v>0</v>
      </c>
      <c r="W12" s="188">
        <v>0</v>
      </c>
      <c r="X12" s="188">
        <v>0</v>
      </c>
      <c r="Y12" s="296" t="b">
        <f t="shared" si="5"/>
        <v>1</v>
      </c>
      <c r="Z12" s="297">
        <f t="shared" si="6"/>
        <v>0.5</v>
      </c>
      <c r="AA12" s="298" t="b">
        <f t="shared" si="7"/>
        <v>1</v>
      </c>
      <c r="AB12" s="298" t="b">
        <f t="shared" si="8"/>
        <v>1</v>
      </c>
    </row>
    <row r="13" spans="1:28" ht="39.950000000000003" customHeight="1" x14ac:dyDescent="0.25">
      <c r="A13" s="141">
        <v>11</v>
      </c>
      <c r="B13" s="148" t="s">
        <v>169</v>
      </c>
      <c r="C13" s="153" t="s">
        <v>52</v>
      </c>
      <c r="D13" s="150" t="s">
        <v>165</v>
      </c>
      <c r="E13" s="149">
        <v>1611033</v>
      </c>
      <c r="F13" s="149" t="s">
        <v>57</v>
      </c>
      <c r="G13" s="150" t="s">
        <v>257</v>
      </c>
      <c r="H13" s="149" t="s">
        <v>46</v>
      </c>
      <c r="I13" s="171">
        <v>0.12</v>
      </c>
      <c r="J13" s="170" t="s">
        <v>296</v>
      </c>
      <c r="K13" s="253">
        <v>214117.16</v>
      </c>
      <c r="L13" s="167">
        <f t="shared" si="9"/>
        <v>149882.01</v>
      </c>
      <c r="M13" s="167">
        <f t="shared" si="10"/>
        <v>64235.149999999994</v>
      </c>
      <c r="N13" s="131">
        <v>0.7</v>
      </c>
      <c r="O13" s="186">
        <v>0</v>
      </c>
      <c r="P13" s="186">
        <v>0</v>
      </c>
      <c r="Q13" s="237">
        <f t="shared" si="11"/>
        <v>149882.01</v>
      </c>
      <c r="R13" s="186">
        <v>0</v>
      </c>
      <c r="S13" s="186">
        <v>0</v>
      </c>
      <c r="T13" s="186">
        <v>0</v>
      </c>
      <c r="U13" s="186">
        <v>0</v>
      </c>
      <c r="V13" s="186">
        <v>0</v>
      </c>
      <c r="W13" s="188">
        <v>0</v>
      </c>
      <c r="X13" s="188">
        <v>0</v>
      </c>
      <c r="Y13" s="296" t="b">
        <f t="shared" si="5"/>
        <v>1</v>
      </c>
      <c r="Z13" s="297">
        <f t="shared" si="6"/>
        <v>0.7</v>
      </c>
      <c r="AA13" s="298" t="b">
        <f t="shared" si="7"/>
        <v>1</v>
      </c>
      <c r="AB13" s="298" t="b">
        <f t="shared" si="8"/>
        <v>1</v>
      </c>
    </row>
    <row r="14" spans="1:28" ht="39.950000000000003" customHeight="1" x14ac:dyDescent="0.25">
      <c r="A14" s="141">
        <v>12</v>
      </c>
      <c r="B14" s="148" t="s">
        <v>172</v>
      </c>
      <c r="C14" s="153" t="s">
        <v>52</v>
      </c>
      <c r="D14" s="150" t="s">
        <v>179</v>
      </c>
      <c r="E14" s="149">
        <v>1603042</v>
      </c>
      <c r="F14" s="149" t="s">
        <v>60</v>
      </c>
      <c r="G14" s="150" t="s">
        <v>262</v>
      </c>
      <c r="H14" s="149" t="s">
        <v>272</v>
      </c>
      <c r="I14" s="171">
        <v>0.185</v>
      </c>
      <c r="J14" s="170" t="s">
        <v>282</v>
      </c>
      <c r="K14" s="253">
        <v>377814.77</v>
      </c>
      <c r="L14" s="167">
        <f>ROUND(K14*N14,2)</f>
        <v>264470.34000000003</v>
      </c>
      <c r="M14" s="167">
        <f>K14-L14</f>
        <v>113344.43</v>
      </c>
      <c r="N14" s="131">
        <v>0.7</v>
      </c>
      <c r="O14" s="186">
        <v>0</v>
      </c>
      <c r="P14" s="186">
        <v>0</v>
      </c>
      <c r="Q14" s="237">
        <f t="shared" si="11"/>
        <v>264470.34000000003</v>
      </c>
      <c r="R14" s="186">
        <v>0</v>
      </c>
      <c r="S14" s="186">
        <v>0</v>
      </c>
      <c r="T14" s="186">
        <v>0</v>
      </c>
      <c r="U14" s="186">
        <v>0</v>
      </c>
      <c r="V14" s="186">
        <v>0</v>
      </c>
      <c r="W14" s="188">
        <v>0</v>
      </c>
      <c r="X14" s="188">
        <v>0</v>
      </c>
      <c r="Y14" s="296" t="b">
        <f t="shared" si="5"/>
        <v>1</v>
      </c>
      <c r="Z14" s="297">
        <f t="shared" si="6"/>
        <v>0.7</v>
      </c>
      <c r="AA14" s="298" t="b">
        <f t="shared" si="7"/>
        <v>1</v>
      </c>
      <c r="AB14" s="298" t="b">
        <f t="shared" si="8"/>
        <v>1</v>
      </c>
    </row>
    <row r="15" spans="1:28" ht="39.950000000000003" customHeight="1" x14ac:dyDescent="0.25">
      <c r="A15" s="141">
        <v>13</v>
      </c>
      <c r="B15" s="148" t="s">
        <v>173</v>
      </c>
      <c r="C15" s="153" t="s">
        <v>52</v>
      </c>
      <c r="D15" s="150" t="s">
        <v>165</v>
      </c>
      <c r="E15" s="149">
        <v>1611033</v>
      </c>
      <c r="F15" s="149" t="s">
        <v>57</v>
      </c>
      <c r="G15" s="150" t="s">
        <v>260</v>
      </c>
      <c r="H15" s="149" t="s">
        <v>46</v>
      </c>
      <c r="I15" s="171">
        <v>0.17599999999999999</v>
      </c>
      <c r="J15" s="170" t="s">
        <v>275</v>
      </c>
      <c r="K15" s="253">
        <v>319013.06</v>
      </c>
      <c r="L15" s="167">
        <f>ROUND(K15*N15,2)</f>
        <v>223309.14</v>
      </c>
      <c r="M15" s="167">
        <f>K15-L15</f>
        <v>95703.919999999984</v>
      </c>
      <c r="N15" s="131">
        <v>0.7</v>
      </c>
      <c r="O15" s="186">
        <v>0</v>
      </c>
      <c r="P15" s="186">
        <v>0</v>
      </c>
      <c r="Q15" s="237">
        <f t="shared" si="11"/>
        <v>223309.14</v>
      </c>
      <c r="R15" s="186">
        <v>0</v>
      </c>
      <c r="S15" s="186">
        <v>0</v>
      </c>
      <c r="T15" s="186">
        <v>0</v>
      </c>
      <c r="U15" s="186">
        <v>0</v>
      </c>
      <c r="V15" s="186">
        <v>0</v>
      </c>
      <c r="W15" s="188">
        <v>0</v>
      </c>
      <c r="X15" s="188">
        <v>0</v>
      </c>
      <c r="Y15" s="296" t="b">
        <f t="shared" si="5"/>
        <v>1</v>
      </c>
      <c r="Z15" s="297">
        <f t="shared" si="6"/>
        <v>0.7</v>
      </c>
      <c r="AA15" s="298" t="b">
        <f t="shared" si="7"/>
        <v>1</v>
      </c>
      <c r="AB15" s="298" t="b">
        <f t="shared" si="8"/>
        <v>1</v>
      </c>
    </row>
    <row r="16" spans="1:28" ht="39.950000000000003" customHeight="1" x14ac:dyDescent="0.25">
      <c r="A16" s="141">
        <v>14</v>
      </c>
      <c r="B16" s="148" t="s">
        <v>183</v>
      </c>
      <c r="C16" s="153" t="s">
        <v>52</v>
      </c>
      <c r="D16" s="150" t="s">
        <v>79</v>
      </c>
      <c r="E16" s="149">
        <v>1603022</v>
      </c>
      <c r="F16" s="149" t="s">
        <v>60</v>
      </c>
      <c r="G16" s="150" t="s">
        <v>259</v>
      </c>
      <c r="H16" s="149" t="s">
        <v>46</v>
      </c>
      <c r="I16" s="171">
        <v>0.15</v>
      </c>
      <c r="J16" s="170" t="s">
        <v>297</v>
      </c>
      <c r="K16" s="253">
        <v>393935.97</v>
      </c>
      <c r="L16" s="167">
        <f>ROUND(K16*N16,2)</f>
        <v>196967.99</v>
      </c>
      <c r="M16" s="167">
        <f>K16-L16</f>
        <v>196967.97999999998</v>
      </c>
      <c r="N16" s="131">
        <v>0.5</v>
      </c>
      <c r="O16" s="186">
        <v>0</v>
      </c>
      <c r="P16" s="186">
        <v>0</v>
      </c>
      <c r="Q16" s="237">
        <f t="shared" si="11"/>
        <v>196967.99</v>
      </c>
      <c r="R16" s="186">
        <v>0</v>
      </c>
      <c r="S16" s="186">
        <v>0</v>
      </c>
      <c r="T16" s="186">
        <v>0</v>
      </c>
      <c r="U16" s="186">
        <v>0</v>
      </c>
      <c r="V16" s="186">
        <v>0</v>
      </c>
      <c r="W16" s="188">
        <v>0</v>
      </c>
      <c r="X16" s="188">
        <v>0</v>
      </c>
      <c r="Y16" s="296" t="b">
        <f t="shared" si="5"/>
        <v>1</v>
      </c>
      <c r="Z16" s="297">
        <f t="shared" si="6"/>
        <v>0.5</v>
      </c>
      <c r="AA16" s="298" t="b">
        <f t="shared" si="7"/>
        <v>1</v>
      </c>
      <c r="AB16" s="298" t="b">
        <f t="shared" si="8"/>
        <v>1</v>
      </c>
    </row>
    <row r="17" spans="1:28" ht="37.5" customHeight="1" x14ac:dyDescent="0.25">
      <c r="A17" s="141">
        <v>15</v>
      </c>
      <c r="B17" s="148" t="s">
        <v>171</v>
      </c>
      <c r="C17" s="153" t="s">
        <v>52</v>
      </c>
      <c r="D17" s="150" t="s">
        <v>79</v>
      </c>
      <c r="E17" s="149">
        <v>1603022</v>
      </c>
      <c r="F17" s="149" t="s">
        <v>60</v>
      </c>
      <c r="G17" s="150" t="s">
        <v>258</v>
      </c>
      <c r="H17" s="149" t="s">
        <v>272</v>
      </c>
      <c r="I17" s="171">
        <v>0.96699999999999997</v>
      </c>
      <c r="J17" s="170" t="s">
        <v>297</v>
      </c>
      <c r="K17" s="253">
        <v>776450.61</v>
      </c>
      <c r="L17" s="167">
        <f t="shared" si="9"/>
        <v>388225.31</v>
      </c>
      <c r="M17" s="167">
        <f t="shared" si="10"/>
        <v>388225.3</v>
      </c>
      <c r="N17" s="131">
        <v>0.5</v>
      </c>
      <c r="O17" s="186">
        <v>0</v>
      </c>
      <c r="P17" s="186">
        <v>0</v>
      </c>
      <c r="Q17" s="237">
        <f t="shared" si="11"/>
        <v>388225.31</v>
      </c>
      <c r="R17" s="186">
        <v>0</v>
      </c>
      <c r="S17" s="186">
        <v>0</v>
      </c>
      <c r="T17" s="186">
        <v>0</v>
      </c>
      <c r="U17" s="186">
        <v>0</v>
      </c>
      <c r="V17" s="186">
        <v>0</v>
      </c>
      <c r="W17" s="188">
        <v>0</v>
      </c>
      <c r="X17" s="188">
        <v>0</v>
      </c>
      <c r="Y17" s="296" t="b">
        <f t="shared" si="5"/>
        <v>1</v>
      </c>
      <c r="Z17" s="297">
        <f t="shared" si="6"/>
        <v>0.5</v>
      </c>
      <c r="AA17" s="298" t="b">
        <f t="shared" si="7"/>
        <v>1</v>
      </c>
      <c r="AB17" s="298" t="b">
        <f t="shared" si="8"/>
        <v>1</v>
      </c>
    </row>
    <row r="18" spans="1:28" ht="39.950000000000003" customHeight="1" x14ac:dyDescent="0.25">
      <c r="A18" s="141">
        <v>16</v>
      </c>
      <c r="B18" s="148" t="s">
        <v>175</v>
      </c>
      <c r="C18" s="153" t="s">
        <v>52</v>
      </c>
      <c r="D18" s="150" t="s">
        <v>81</v>
      </c>
      <c r="E18" s="149">
        <v>1602043</v>
      </c>
      <c r="F18" s="149" t="s">
        <v>83</v>
      </c>
      <c r="G18" s="150" t="s">
        <v>261</v>
      </c>
      <c r="H18" s="149" t="s">
        <v>272</v>
      </c>
      <c r="I18" s="171">
        <v>0.5</v>
      </c>
      <c r="J18" s="170" t="s">
        <v>292</v>
      </c>
      <c r="K18" s="253">
        <v>360510.12</v>
      </c>
      <c r="L18" s="167">
        <f t="shared" si="9"/>
        <v>252357.08</v>
      </c>
      <c r="M18" s="167">
        <f t="shared" si="10"/>
        <v>108153.04000000001</v>
      </c>
      <c r="N18" s="131">
        <v>0.7</v>
      </c>
      <c r="O18" s="186">
        <v>0</v>
      </c>
      <c r="P18" s="186">
        <v>0</v>
      </c>
      <c r="Q18" s="237">
        <f t="shared" si="11"/>
        <v>252357.08</v>
      </c>
      <c r="R18" s="186">
        <v>0</v>
      </c>
      <c r="S18" s="186">
        <v>0</v>
      </c>
      <c r="T18" s="186">
        <v>0</v>
      </c>
      <c r="U18" s="186">
        <v>0</v>
      </c>
      <c r="V18" s="186">
        <v>0</v>
      </c>
      <c r="W18" s="188">
        <v>0</v>
      </c>
      <c r="X18" s="188">
        <v>0</v>
      </c>
      <c r="Y18" s="296" t="b">
        <f t="shared" si="5"/>
        <v>1</v>
      </c>
      <c r="Z18" s="297">
        <f t="shared" si="6"/>
        <v>0.7</v>
      </c>
      <c r="AA18" s="298" t="b">
        <f t="shared" si="7"/>
        <v>1</v>
      </c>
      <c r="AB18" s="298" t="b">
        <f t="shared" si="8"/>
        <v>1</v>
      </c>
    </row>
    <row r="19" spans="1:28" ht="39.950000000000003" customHeight="1" x14ac:dyDescent="0.25">
      <c r="A19" s="141">
        <v>17</v>
      </c>
      <c r="B19" s="148" t="s">
        <v>176</v>
      </c>
      <c r="C19" s="153" t="s">
        <v>52</v>
      </c>
      <c r="D19" s="150" t="s">
        <v>73</v>
      </c>
      <c r="E19" s="149">
        <v>1606032</v>
      </c>
      <c r="F19" s="149" t="s">
        <v>58</v>
      </c>
      <c r="G19" s="150" t="s">
        <v>263</v>
      </c>
      <c r="H19" s="149" t="s">
        <v>272</v>
      </c>
      <c r="I19" s="171">
        <v>1.9530000000000001</v>
      </c>
      <c r="J19" s="170" t="s">
        <v>298</v>
      </c>
      <c r="K19" s="253">
        <v>547253.93999999994</v>
      </c>
      <c r="L19" s="167">
        <f t="shared" si="9"/>
        <v>328352.36</v>
      </c>
      <c r="M19" s="167">
        <f t="shared" si="10"/>
        <v>218901.57999999996</v>
      </c>
      <c r="N19" s="131">
        <v>0.6</v>
      </c>
      <c r="O19" s="186">
        <v>0</v>
      </c>
      <c r="P19" s="186">
        <v>0</v>
      </c>
      <c r="Q19" s="237">
        <f t="shared" si="11"/>
        <v>328352.36</v>
      </c>
      <c r="R19" s="186">
        <v>0</v>
      </c>
      <c r="S19" s="186">
        <v>0</v>
      </c>
      <c r="T19" s="186">
        <v>0</v>
      </c>
      <c r="U19" s="186">
        <v>0</v>
      </c>
      <c r="V19" s="186">
        <v>0</v>
      </c>
      <c r="W19" s="188">
        <v>0</v>
      </c>
      <c r="X19" s="188">
        <v>0</v>
      </c>
      <c r="Y19" s="296" t="b">
        <f t="shared" si="5"/>
        <v>1</v>
      </c>
      <c r="Z19" s="297">
        <f t="shared" si="6"/>
        <v>0.6</v>
      </c>
      <c r="AA19" s="298" t="b">
        <f t="shared" si="7"/>
        <v>1</v>
      </c>
      <c r="AB19" s="298" t="b">
        <f t="shared" si="8"/>
        <v>1</v>
      </c>
    </row>
    <row r="20" spans="1:28" ht="39.950000000000003" customHeight="1" x14ac:dyDescent="0.25">
      <c r="A20" s="141">
        <v>18</v>
      </c>
      <c r="B20" s="148" t="s">
        <v>181</v>
      </c>
      <c r="C20" s="153" t="s">
        <v>52</v>
      </c>
      <c r="D20" s="150" t="s">
        <v>186</v>
      </c>
      <c r="E20" s="149">
        <v>1611022</v>
      </c>
      <c r="F20" s="149" t="s">
        <v>57</v>
      </c>
      <c r="G20" s="150" t="s">
        <v>264</v>
      </c>
      <c r="H20" s="149" t="s">
        <v>272</v>
      </c>
      <c r="I20" s="171">
        <v>0.84099999999999997</v>
      </c>
      <c r="J20" s="170" t="s">
        <v>299</v>
      </c>
      <c r="K20" s="253">
        <v>445537.98</v>
      </c>
      <c r="L20" s="167">
        <f t="shared" si="9"/>
        <v>311876.59000000003</v>
      </c>
      <c r="M20" s="167">
        <f t="shared" si="10"/>
        <v>133661.38999999996</v>
      </c>
      <c r="N20" s="131">
        <v>0.7</v>
      </c>
      <c r="O20" s="186">
        <v>0</v>
      </c>
      <c r="P20" s="186">
        <v>0</v>
      </c>
      <c r="Q20" s="237">
        <f t="shared" si="11"/>
        <v>311876.59000000003</v>
      </c>
      <c r="R20" s="186">
        <v>0</v>
      </c>
      <c r="S20" s="186">
        <v>0</v>
      </c>
      <c r="T20" s="186">
        <v>0</v>
      </c>
      <c r="U20" s="186">
        <v>0</v>
      </c>
      <c r="V20" s="186">
        <v>0</v>
      </c>
      <c r="W20" s="188">
        <v>0</v>
      </c>
      <c r="X20" s="188">
        <v>0</v>
      </c>
      <c r="Y20" s="296" t="b">
        <f t="shared" si="5"/>
        <v>1</v>
      </c>
      <c r="Z20" s="297">
        <f t="shared" si="6"/>
        <v>0.7</v>
      </c>
      <c r="AA20" s="298" t="b">
        <f t="shared" si="7"/>
        <v>1</v>
      </c>
      <c r="AB20" s="298" t="b">
        <f t="shared" si="8"/>
        <v>1</v>
      </c>
    </row>
    <row r="21" spans="1:28" ht="39.950000000000003" customHeight="1" x14ac:dyDescent="0.25">
      <c r="A21" s="141">
        <v>19</v>
      </c>
      <c r="B21" s="148" t="s">
        <v>182</v>
      </c>
      <c r="C21" s="153" t="s">
        <v>52</v>
      </c>
      <c r="D21" s="150" t="s">
        <v>80</v>
      </c>
      <c r="E21" s="149">
        <v>1611073</v>
      </c>
      <c r="F21" s="149" t="s">
        <v>57</v>
      </c>
      <c r="G21" s="150" t="s">
        <v>265</v>
      </c>
      <c r="H21" s="149" t="s">
        <v>272</v>
      </c>
      <c r="I21" s="171">
        <v>0.54100000000000004</v>
      </c>
      <c r="J21" s="170" t="s">
        <v>294</v>
      </c>
      <c r="K21" s="253">
        <v>1856509.75</v>
      </c>
      <c r="L21" s="167">
        <f t="shared" si="9"/>
        <v>1299556.83</v>
      </c>
      <c r="M21" s="167">
        <f t="shared" si="10"/>
        <v>556952.91999999993</v>
      </c>
      <c r="N21" s="131">
        <v>0.7</v>
      </c>
      <c r="O21" s="186">
        <v>0</v>
      </c>
      <c r="P21" s="186">
        <v>0</v>
      </c>
      <c r="Q21" s="237">
        <f>L21</f>
        <v>1299556.83</v>
      </c>
      <c r="R21" s="186">
        <v>0</v>
      </c>
      <c r="S21" s="186">
        <v>0</v>
      </c>
      <c r="T21" s="186">
        <v>0</v>
      </c>
      <c r="U21" s="186">
        <v>0</v>
      </c>
      <c r="V21" s="186">
        <v>0</v>
      </c>
      <c r="W21" s="188">
        <v>0</v>
      </c>
      <c r="X21" s="188">
        <v>0</v>
      </c>
      <c r="Y21" s="296" t="b">
        <f t="shared" si="5"/>
        <v>1</v>
      </c>
      <c r="Z21" s="297">
        <f t="shared" si="6"/>
        <v>0.7</v>
      </c>
      <c r="AA21" s="298" t="b">
        <f t="shared" si="7"/>
        <v>1</v>
      </c>
      <c r="AB21" s="298" t="b">
        <f t="shared" si="8"/>
        <v>1</v>
      </c>
    </row>
    <row r="22" spans="1:28" ht="39.950000000000003" customHeight="1" x14ac:dyDescent="0.25">
      <c r="A22" s="141">
        <v>20</v>
      </c>
      <c r="B22" s="148" t="s">
        <v>184</v>
      </c>
      <c r="C22" s="153" t="s">
        <v>52</v>
      </c>
      <c r="D22" s="150" t="s">
        <v>80</v>
      </c>
      <c r="E22" s="149">
        <v>1611073</v>
      </c>
      <c r="F22" s="149" t="s">
        <v>57</v>
      </c>
      <c r="G22" s="150" t="s">
        <v>267</v>
      </c>
      <c r="H22" s="149" t="s">
        <v>272</v>
      </c>
      <c r="I22" s="172">
        <v>0.45500000000000002</v>
      </c>
      <c r="J22" s="173" t="s">
        <v>292</v>
      </c>
      <c r="K22" s="253">
        <v>1561827.88</v>
      </c>
      <c r="L22" s="167">
        <f t="shared" si="9"/>
        <v>1093279.52</v>
      </c>
      <c r="M22" s="167">
        <f>K22-L22</f>
        <v>468548.35999999987</v>
      </c>
      <c r="N22" s="131">
        <v>0.7</v>
      </c>
      <c r="O22" s="186">
        <v>0</v>
      </c>
      <c r="P22" s="186">
        <v>0</v>
      </c>
      <c r="Q22" s="237">
        <f>L22</f>
        <v>1093279.52</v>
      </c>
      <c r="R22" s="186">
        <v>0</v>
      </c>
      <c r="S22" s="186">
        <v>0</v>
      </c>
      <c r="T22" s="186">
        <v>0</v>
      </c>
      <c r="U22" s="186">
        <v>0</v>
      </c>
      <c r="V22" s="186">
        <v>0</v>
      </c>
      <c r="W22" s="188">
        <v>0</v>
      </c>
      <c r="X22" s="188">
        <v>0</v>
      </c>
      <c r="Y22" s="296" t="b">
        <f t="shared" si="5"/>
        <v>1</v>
      </c>
      <c r="Z22" s="297">
        <f t="shared" si="6"/>
        <v>0.7</v>
      </c>
      <c r="AA22" s="298" t="b">
        <f t="shared" si="7"/>
        <v>1</v>
      </c>
      <c r="AB22" s="298" t="b">
        <f t="shared" si="8"/>
        <v>1</v>
      </c>
    </row>
    <row r="23" spans="1:28" ht="18.75" customHeight="1" x14ac:dyDescent="0.25">
      <c r="A23" s="421" t="s">
        <v>44</v>
      </c>
      <c r="B23" s="434"/>
      <c r="C23" s="434"/>
      <c r="D23" s="434"/>
      <c r="E23" s="434"/>
      <c r="F23" s="434"/>
      <c r="G23" s="434"/>
      <c r="H23" s="159"/>
      <c r="I23" s="246">
        <f>SUM(I3:I22)</f>
        <v>9.2750000000000004</v>
      </c>
      <c r="J23" s="160" t="s">
        <v>13</v>
      </c>
      <c r="K23" s="247">
        <f>SUM(K3:K22)</f>
        <v>16104465.949999999</v>
      </c>
      <c r="L23" s="247">
        <f>SUM(L3:L22)</f>
        <v>10060430.35</v>
      </c>
      <c r="M23" s="247">
        <f>SUM(M3:M22)</f>
        <v>6044035.5999999996</v>
      </c>
      <c r="N23" s="247" t="s">
        <v>13</v>
      </c>
      <c r="O23" s="247">
        <f t="shared" ref="O23:X23" si="12">SUM(O3:O22)</f>
        <v>0</v>
      </c>
      <c r="P23" s="247">
        <f t="shared" si="12"/>
        <v>0</v>
      </c>
      <c r="Q23" s="247">
        <f>SUM(Q3:Q22)</f>
        <v>9601712.9499999993</v>
      </c>
      <c r="R23" s="247">
        <f t="shared" si="12"/>
        <v>458717.4</v>
      </c>
      <c r="S23" s="258">
        <f t="shared" si="12"/>
        <v>0</v>
      </c>
      <c r="T23" s="258">
        <f t="shared" si="12"/>
        <v>0</v>
      </c>
      <c r="U23" s="258">
        <f t="shared" si="12"/>
        <v>0</v>
      </c>
      <c r="V23" s="258">
        <f t="shared" si="12"/>
        <v>0</v>
      </c>
      <c r="W23" s="258">
        <f t="shared" si="12"/>
        <v>0</v>
      </c>
      <c r="X23" s="258">
        <f t="shared" si="12"/>
        <v>0</v>
      </c>
      <c r="Y23" s="296" t="b">
        <f>L23=SUM(O23:X23)</f>
        <v>1</v>
      </c>
      <c r="Z23" s="297">
        <f>ROUND(L23/K23,4)</f>
        <v>0.62470000000000003</v>
      </c>
    </row>
    <row r="24" spans="1:28" ht="20.100000000000001" customHeight="1" x14ac:dyDescent="0.25">
      <c r="A24" s="435" t="s">
        <v>37</v>
      </c>
      <c r="B24" s="436"/>
      <c r="C24" s="436"/>
      <c r="D24" s="436"/>
      <c r="E24" s="436"/>
      <c r="F24" s="436"/>
      <c r="G24" s="436"/>
      <c r="H24" s="137"/>
      <c r="I24" s="238">
        <f>SUMIF($C$3:$C$22,"K",I3:I22)</f>
        <v>0</v>
      </c>
      <c r="J24" s="160" t="s">
        <v>13</v>
      </c>
      <c r="K24" s="162">
        <f>SUMIF($C$3:$C$22,"K",K3:K22)</f>
        <v>0</v>
      </c>
      <c r="L24" s="162">
        <f>SUMIF($C$3:$C$22,"K",L3:L22)</f>
        <v>0</v>
      </c>
      <c r="M24" s="162">
        <f>SUMIF($C$3:$C$22,"K",M3:M22)</f>
        <v>0</v>
      </c>
      <c r="N24" s="162" t="s">
        <v>13</v>
      </c>
      <c r="O24" s="162">
        <f>SUMIF($C$3:$C$22,"K",O3:O22)</f>
        <v>0</v>
      </c>
      <c r="P24" s="162">
        <f>SUMIF($C$3:$C$22,"K",P3:P22)</f>
        <v>0</v>
      </c>
      <c r="Q24" s="162">
        <f>SUMIF($C$3:$C$22,"K",Q3:Q22)</f>
        <v>0</v>
      </c>
      <c r="R24" s="162">
        <f>SUMIF($C$3:$C$22,"K",R3:R22)</f>
        <v>0</v>
      </c>
      <c r="S24" s="164">
        <f t="shared" ref="S24:X24" si="13">SUM(S5:S22)</f>
        <v>0</v>
      </c>
      <c r="T24" s="164">
        <f t="shared" si="13"/>
        <v>0</v>
      </c>
      <c r="U24" s="164">
        <f t="shared" si="13"/>
        <v>0</v>
      </c>
      <c r="V24" s="164">
        <f t="shared" si="13"/>
        <v>0</v>
      </c>
      <c r="W24" s="164">
        <f t="shared" si="13"/>
        <v>0</v>
      </c>
      <c r="X24" s="164">
        <f t="shared" si="13"/>
        <v>0</v>
      </c>
      <c r="Y24" s="296" t="b">
        <f>L24=SUM(O24:X24)</f>
        <v>1</v>
      </c>
      <c r="Z24" s="297" t="e">
        <f>ROUND(L24/K24,4)</f>
        <v>#DIV/0!</v>
      </c>
      <c r="AA24" s="298" t="s">
        <v>13</v>
      </c>
      <c r="AB24" s="298" t="b">
        <f>K24=L24+M24</f>
        <v>1</v>
      </c>
    </row>
    <row r="25" spans="1:28" ht="20.100000000000001" customHeight="1" x14ac:dyDescent="0.25">
      <c r="A25" s="435" t="s">
        <v>38</v>
      </c>
      <c r="B25" s="436"/>
      <c r="C25" s="436"/>
      <c r="D25" s="436"/>
      <c r="E25" s="436"/>
      <c r="F25" s="436"/>
      <c r="G25" s="436"/>
      <c r="H25" s="136"/>
      <c r="I25" s="238">
        <f>SUMIF($C$3:$C$22,"N",I3:I22)</f>
        <v>8.5050000000000008</v>
      </c>
      <c r="J25" s="160" t="s">
        <v>13</v>
      </c>
      <c r="K25" s="161">
        <f>SUMIF($C$3:$C$22,"N",K3:K22)</f>
        <v>12557865.699999999</v>
      </c>
      <c r="L25" s="161">
        <f>SUMIF($C$3:$C$22,"N",L3:L22)</f>
        <v>7577810.1699999999</v>
      </c>
      <c r="M25" s="161">
        <f>SUMIF($C$3:$C$22,"N",M3:M22)</f>
        <v>4980055.5299999993</v>
      </c>
      <c r="N25" s="161" t="s">
        <v>13</v>
      </c>
      <c r="O25" s="161">
        <f>SUMIF($C$3:$C$22,"N",O3:O22)</f>
        <v>0</v>
      </c>
      <c r="P25" s="161">
        <f>SUMIF($C$3:$C$22,"N",P3:P22)</f>
        <v>0</v>
      </c>
      <c r="Q25" s="161">
        <f>SUMIF($C$3:$C$22,"N",Q3:Q22)</f>
        <v>7577810.1699999999</v>
      </c>
      <c r="R25" s="161">
        <f>SUMIF($C$3:$C$22,"N",R3:R22)</f>
        <v>0</v>
      </c>
      <c r="S25" s="164">
        <f t="shared" ref="S25:X25" ca="1" si="14">SUMIF($C$3:$C$22,"N",S5:S22)</f>
        <v>0</v>
      </c>
      <c r="T25" s="164">
        <f t="shared" ca="1" si="14"/>
        <v>0</v>
      </c>
      <c r="U25" s="164">
        <f t="shared" ca="1" si="14"/>
        <v>0</v>
      </c>
      <c r="V25" s="164">
        <f t="shared" ca="1" si="14"/>
        <v>0</v>
      </c>
      <c r="W25" s="164">
        <f t="shared" ca="1" si="14"/>
        <v>0</v>
      </c>
      <c r="X25" s="164">
        <f t="shared" ca="1" si="14"/>
        <v>0</v>
      </c>
      <c r="Y25" s="296" t="b">
        <f ca="1">L25=SUM(O25:X25)</f>
        <v>1</v>
      </c>
      <c r="Z25" s="297">
        <f>ROUND(L25/K25,4)</f>
        <v>0.60340000000000005</v>
      </c>
      <c r="AA25" s="298" t="s">
        <v>13</v>
      </c>
      <c r="AB25" s="298" t="b">
        <f>K25=L25+M25</f>
        <v>1</v>
      </c>
    </row>
    <row r="26" spans="1:28" ht="20.100000000000001" customHeight="1" x14ac:dyDescent="0.25">
      <c r="A26" s="429" t="s">
        <v>39</v>
      </c>
      <c r="B26" s="430"/>
      <c r="C26" s="430"/>
      <c r="D26" s="430"/>
      <c r="E26" s="430"/>
      <c r="F26" s="430"/>
      <c r="G26" s="430"/>
      <c r="H26" s="135"/>
      <c r="I26" s="239">
        <f>SUMIF($C$3:$C$22,"W",I3:I22)</f>
        <v>0.77</v>
      </c>
      <c r="J26" s="267" t="s">
        <v>13</v>
      </c>
      <c r="K26" s="215">
        <f>SUMIF($C$3:$C$22,"W",K3:K22)</f>
        <v>3546600.25</v>
      </c>
      <c r="L26" s="215">
        <f>SUMIF($C$3:$C$22,"W",L3:L22)</f>
        <v>2482620.1800000002</v>
      </c>
      <c r="M26" s="215">
        <f>SUMIF($C$3:$C$22,"W",M3:M22)</f>
        <v>1063980.0699999998</v>
      </c>
      <c r="N26" s="215" t="s">
        <v>13</v>
      </c>
      <c r="O26" s="215">
        <f>SUMIF($C$3:$C$22,"W",O3:O22)</f>
        <v>0</v>
      </c>
      <c r="P26" s="215">
        <f>SUMIF($C$3:$C$22,"W",P3:P22)</f>
        <v>0</v>
      </c>
      <c r="Q26" s="215">
        <f>SUMIF($C$3:$C$22,"W",Q3:Q22)</f>
        <v>2023902.78</v>
      </c>
      <c r="R26" s="215">
        <f>SUMIF($C$3:$C$22,"W",R3:R22)</f>
        <v>458717.4</v>
      </c>
      <c r="S26" s="273">
        <f t="shared" ref="S26:X26" ca="1" si="15">SUMIF($C$3:$C$22,"W",S5:S22)</f>
        <v>0</v>
      </c>
      <c r="T26" s="273">
        <f t="shared" ca="1" si="15"/>
        <v>0</v>
      </c>
      <c r="U26" s="273">
        <f t="shared" ca="1" si="15"/>
        <v>0</v>
      </c>
      <c r="V26" s="273">
        <f t="shared" ca="1" si="15"/>
        <v>0</v>
      </c>
      <c r="W26" s="273">
        <f t="shared" ca="1" si="15"/>
        <v>0</v>
      </c>
      <c r="X26" s="273">
        <f t="shared" ca="1" si="15"/>
        <v>0</v>
      </c>
      <c r="Y26" s="296" t="b">
        <f ca="1">L26=SUM(O26:X26)</f>
        <v>1</v>
      </c>
      <c r="Z26" s="297">
        <f>ROUND(L26/K26,4)</f>
        <v>0.7</v>
      </c>
      <c r="AA26" s="298" t="s">
        <v>13</v>
      </c>
      <c r="AB26" s="298" t="b">
        <f>K26=L26+M26</f>
        <v>1</v>
      </c>
    </row>
    <row r="27" spans="1:28" x14ac:dyDescent="0.25">
      <c r="A27" s="29"/>
      <c r="Q27" s="27"/>
      <c r="AB27" s="313"/>
    </row>
    <row r="28" spans="1:28" x14ac:dyDescent="0.25">
      <c r="A28" s="23" t="s">
        <v>24</v>
      </c>
      <c r="Q28" s="27"/>
    </row>
    <row r="29" spans="1:28" x14ac:dyDescent="0.25">
      <c r="A29" s="24" t="s">
        <v>25</v>
      </c>
      <c r="Q29" s="27"/>
    </row>
    <row r="30" spans="1:28" x14ac:dyDescent="0.25">
      <c r="A30" s="23" t="s">
        <v>35</v>
      </c>
    </row>
    <row r="31" spans="1:28" x14ac:dyDescent="0.25">
      <c r="A31" s="30"/>
      <c r="Q31" s="27"/>
    </row>
    <row r="32" spans="1:28" x14ac:dyDescent="0.25">
      <c r="P32" s="27"/>
      <c r="Q32" s="27"/>
    </row>
    <row r="35" spans="16:16" x14ac:dyDescent="0.25">
      <c r="P35" s="27"/>
    </row>
  </sheetData>
  <autoFilter ref="A2:AB2"/>
  <mergeCells count="16">
    <mergeCell ref="O1:R1"/>
    <mergeCell ref="A26:G26"/>
    <mergeCell ref="A1:A2"/>
    <mergeCell ref="B1:B2"/>
    <mergeCell ref="C1:C2"/>
    <mergeCell ref="M1:M2"/>
    <mergeCell ref="N1:N2"/>
    <mergeCell ref="K1:K2"/>
    <mergeCell ref="L1:L2"/>
    <mergeCell ref="I1:I2"/>
    <mergeCell ref="H1:H2"/>
    <mergeCell ref="J1:J2"/>
    <mergeCell ref="A23:G23"/>
    <mergeCell ref="A24:G24"/>
    <mergeCell ref="A25:G25"/>
    <mergeCell ref="D1:D2"/>
  </mergeCells>
  <conditionalFormatting sqref="AB27 Y24:AB24 Y23:Z23 Y3:AB22">
    <cfRule type="cellIs" dxfId="11" priority="22" operator="equal">
      <formula>FALSE</formula>
    </cfRule>
  </conditionalFormatting>
  <conditionalFormatting sqref="Y24:AA24 Y23:Z23 Y3:AA22">
    <cfRule type="containsText" dxfId="10" priority="15" operator="containsText" text="fałsz">
      <formula>NOT(ISERROR(SEARCH("fałsz",Y3)))</formula>
    </cfRule>
  </conditionalFormatting>
  <conditionalFormatting sqref="Z26:AA26">
    <cfRule type="cellIs" dxfId="9" priority="12" operator="equal">
      <formula>FALSE</formula>
    </cfRule>
  </conditionalFormatting>
  <conditionalFormatting sqref="Y26">
    <cfRule type="cellIs" dxfId="8" priority="11" operator="equal">
      <formula>FALSE</formula>
    </cfRule>
  </conditionalFormatting>
  <conditionalFormatting sqref="Y26:AA26">
    <cfRule type="containsText" dxfId="7" priority="10" operator="containsText" text="fałsz">
      <formula>NOT(ISERROR(SEARCH("fałsz",Y26)))</formula>
    </cfRule>
  </conditionalFormatting>
  <conditionalFormatting sqref="AB26">
    <cfRule type="cellIs" dxfId="6" priority="9" operator="equal">
      <formula>FALSE</formula>
    </cfRule>
  </conditionalFormatting>
  <conditionalFormatting sqref="AB26">
    <cfRule type="cellIs" dxfId="5" priority="8" operator="equal">
      <formula>FALSE</formula>
    </cfRule>
  </conditionalFormatting>
  <conditionalFormatting sqref="Y25:AA25">
    <cfRule type="containsText" dxfId="4" priority="5" operator="containsText" text="fałsz">
      <formula>NOT(ISERROR(SEARCH("fałsz",Y25)))</formula>
    </cfRule>
  </conditionalFormatting>
  <conditionalFormatting sqref="Z25:AA25">
    <cfRule type="cellIs" dxfId="3" priority="7" operator="equal">
      <formula>FALSE</formula>
    </cfRule>
  </conditionalFormatting>
  <conditionalFormatting sqref="Y25">
    <cfRule type="cellIs" dxfId="2" priority="6" operator="equal">
      <formula>FALSE</formula>
    </cfRule>
  </conditionalFormatting>
  <conditionalFormatting sqref="AB25">
    <cfRule type="cellIs" dxfId="1" priority="4" operator="equal">
      <formula>FALSE</formula>
    </cfRule>
  </conditionalFormatting>
  <conditionalFormatting sqref="AB25">
    <cfRule type="cellIs" dxfId="0" priority="3" operator="equal">
      <formula>FALSE</formula>
    </cfRule>
  </conditionalFormatting>
  <dataValidations count="3">
    <dataValidation type="list" allowBlank="1" showInputMessage="1" showErrorMessage="1" sqref="C22">
      <formula1>"N,K,W"</formula1>
    </dataValidation>
    <dataValidation type="list" allowBlank="1" showInputMessage="1" showErrorMessage="1" sqref="C3:C21">
      <formula1>"N,W"</formula1>
    </dataValidation>
    <dataValidation type="list" allowBlank="1" showInputMessage="1" showErrorMessage="1" sqref="H3:H22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63" orientation="landscape" r:id="rId1"/>
  <headerFooter>
    <oddHeader>&amp;LWojewództwo&amp;K000000 Opolskie&amp;K01+000 - zadania gminne lista rezerwowa</oddHeader>
    <oddFooter>Strona &amp;P z &amp;N</oddFooter>
  </headerFooter>
  <rowBreaks count="1" manualBreakCount="1">
    <brk id="10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Zofia Malik</cp:lastModifiedBy>
  <cp:lastPrinted>2021-06-01T11:26:16Z</cp:lastPrinted>
  <dcterms:created xsi:type="dcterms:W3CDTF">2019-02-25T10:53:14Z</dcterms:created>
  <dcterms:modified xsi:type="dcterms:W3CDTF">2021-07-01T12:17:05Z</dcterms:modified>
</cp:coreProperties>
</file>