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1" i="7" s="1"/>
  <c r="A66" i="7" l="1"/>
  <c r="A85" i="7"/>
  <c r="A30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<sst xmlns="http://schemas.openxmlformats.org/spreadsheetml/2006/main" count="97" uniqueCount="81">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</sst>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0"/>
    </sheetView>
  </sheetViews>
  <sheetFormatPr defaultColWidth="9.1796875" defaultRowHeight="13.5" customHeight="1" x14ac:dyDescent="0.25"/>
  <cols>
    <col min="1" max="1" width="22.54296875" style="2" customWidth="1"/>
    <col min="2" max="3" width="13.7265625" style="2" customWidth="1"/>
    <col min="4" max="4" width="12.453125" style="2" customWidth="1"/>
    <col min="5" max="6" width="11.453125" style="2" customWidth="1"/>
    <col min="7" max="7" width="12.7265625" style="2" customWidth="1"/>
    <col min="8" max="8" width="9.7265625" style="2" customWidth="1"/>
    <col min="9" max="9" width="10.7265625" style="2" customWidth="1"/>
    <col min="10" max="10" width="14" style="2" customWidth="1"/>
    <col min="11" max="11" width="12.1796875" style="2" customWidth="1"/>
    <col min="12" max="12" width="11.453125" style="2" customWidth="1"/>
    <col min="13" max="13" width="12" style="2" customWidth="1"/>
    <col min="14" max="14" width="11.7265625" style="2" customWidth="1"/>
    <col min="15" max="15" width="11.1796875" style="2" customWidth="1"/>
    <col min="16" max="16" width="12.54296875" style="2" customWidth="1"/>
    <col min="17" max="16384" width="9.1796875" style="2"/>
  </cols>
  <sheetData>
    <row r="1" spans="1:17" ht="75" customHeight="1" x14ac:dyDescent="0.25">
      <c r="A1" s="36" t="str">
        <f>CONCATENATE("Informacja z wykonania budżetów miast na prawach powiatu za  ",$C$93," ",$B$94," roku     ",$B$96,"")</f>
        <v xml:space="preserve">Informacja z wykonania budżetów miast na prawach powiatu za  III Kwartały 2022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5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5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5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5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5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5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5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5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5">
      <c r="A13" s="20" t="s">
        <v>47</v>
      </c>
      <c r="B13" s="21">
        <f>43233118387.68</f>
        <v>43233118387.68</v>
      </c>
      <c r="C13" s="21">
        <f>21801633320.71</f>
        <v>21801633320.709999</v>
      </c>
      <c r="D13" s="21">
        <f>465750886.78</f>
        <v>465750886.77999997</v>
      </c>
      <c r="E13" s="21">
        <f>155.48</f>
        <v>155.47999999999999</v>
      </c>
      <c r="F13" s="21">
        <f>255106833.08</f>
        <v>255106833.08000001</v>
      </c>
      <c r="G13" s="21">
        <f>210643898.22</f>
        <v>210643898.22</v>
      </c>
      <c r="H13" s="21">
        <f>0</f>
        <v>0</v>
      </c>
      <c r="I13" s="21">
        <f>0</f>
        <v>0</v>
      </c>
      <c r="J13" s="21">
        <f>18951735753.87</f>
        <v>18951735753.869999</v>
      </c>
      <c r="K13" s="21">
        <f>780437264.9</f>
        <v>780437264.89999998</v>
      </c>
      <c r="L13" s="21">
        <f>1591332096.59</f>
        <v>1591332096.5899999</v>
      </c>
      <c r="M13" s="21">
        <f>11172253.67</f>
        <v>11172253.67</v>
      </c>
      <c r="N13" s="21">
        <f>1205064.9</f>
        <v>1205064.8999999999</v>
      </c>
      <c r="O13" s="21">
        <f>21431485066.97</f>
        <v>21431485066.970001</v>
      </c>
      <c r="P13" s="21">
        <f>21147962395.43</f>
        <v>21147962395.43</v>
      </c>
      <c r="Q13" s="21">
        <f>283522671.54</f>
        <v>283522671.54000002</v>
      </c>
    </row>
    <row r="14" spans="1:17" ht="38.25" customHeight="1" x14ac:dyDescent="0.25">
      <c r="A14" s="20" t="s">
        <v>48</v>
      </c>
      <c r="B14" s="21">
        <f>3105531000</f>
        <v>3105531000</v>
      </c>
      <c r="C14" s="21">
        <f>3105531000</f>
        <v>3105531000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2938031000</f>
        <v>2938031000</v>
      </c>
      <c r="K14" s="21">
        <f>167500000</f>
        <v>167500000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5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5">
      <c r="A16" s="18" t="s">
        <v>50</v>
      </c>
      <c r="B16" s="22">
        <f>3105531000</f>
        <v>3105531000</v>
      </c>
      <c r="C16" s="22">
        <f>3105531000</f>
        <v>3105531000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2938031000</f>
        <v>2938031000</v>
      </c>
      <c r="K16" s="22">
        <f>167500000</f>
        <v>167500000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5">
      <c r="A17" s="20" t="s">
        <v>51</v>
      </c>
      <c r="B17" s="21">
        <f>40106858782.2</f>
        <v>40106858782.199997</v>
      </c>
      <c r="C17" s="21">
        <f>18675373715.23</f>
        <v>18675373715.23</v>
      </c>
      <c r="D17" s="21">
        <f>459198118.57</f>
        <v>459198118.56999999</v>
      </c>
      <c r="E17" s="21">
        <f>0</f>
        <v>0</v>
      </c>
      <c r="F17" s="21">
        <f>255106833.08</f>
        <v>255106833.08000001</v>
      </c>
      <c r="G17" s="21">
        <f>204091285.49</f>
        <v>204091285.49000001</v>
      </c>
      <c r="H17" s="21">
        <f>0</f>
        <v>0</v>
      </c>
      <c r="I17" s="21">
        <f>0</f>
        <v>0</v>
      </c>
      <c r="J17" s="21">
        <f>16013704753.87</f>
        <v>16013704753.870001</v>
      </c>
      <c r="K17" s="21">
        <f>612937264.9</f>
        <v>612937264.89999998</v>
      </c>
      <c r="L17" s="21">
        <f>1589290724.4</f>
        <v>1589290724.4000001</v>
      </c>
      <c r="M17" s="21">
        <f>242853.49</f>
        <v>242853.49</v>
      </c>
      <c r="N17" s="21">
        <f>0</f>
        <v>0</v>
      </c>
      <c r="O17" s="21">
        <f>21431485066.97</f>
        <v>21431485066.970001</v>
      </c>
      <c r="P17" s="21">
        <f>21147962395.43</f>
        <v>21147962395.43</v>
      </c>
      <c r="Q17" s="21">
        <f>283522671.54</f>
        <v>283522671.54000002</v>
      </c>
    </row>
    <row r="18" spans="1:17" ht="38.25" customHeight="1" x14ac:dyDescent="0.25">
      <c r="A18" s="18" t="s">
        <v>52</v>
      </c>
      <c r="B18" s="22">
        <f>183431059.15</f>
        <v>183431059.15000001</v>
      </c>
      <c r="C18" s="22">
        <f>183431059.15</f>
        <v>183431059.15000001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183326059.15</f>
        <v>183326059.15000001</v>
      </c>
      <c r="K18" s="22">
        <f>0</f>
        <v>0</v>
      </c>
      <c r="L18" s="22">
        <f>0</f>
        <v>0</v>
      </c>
      <c r="M18" s="22">
        <f>105000</f>
        <v>105000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5">
      <c r="A19" s="18" t="s">
        <v>53</v>
      </c>
      <c r="B19" s="22">
        <f>39923427723.05</f>
        <v>39923427723.050003</v>
      </c>
      <c r="C19" s="22">
        <f>18491942656.08</f>
        <v>18491942656.080002</v>
      </c>
      <c r="D19" s="22">
        <f>459198118.57</f>
        <v>459198118.56999999</v>
      </c>
      <c r="E19" s="22">
        <f>0</f>
        <v>0</v>
      </c>
      <c r="F19" s="22">
        <f>255106833.08</f>
        <v>255106833.08000001</v>
      </c>
      <c r="G19" s="22">
        <f>204091285.49</f>
        <v>204091285.49000001</v>
      </c>
      <c r="H19" s="22">
        <f>0</f>
        <v>0</v>
      </c>
      <c r="I19" s="22">
        <f>0</f>
        <v>0</v>
      </c>
      <c r="J19" s="22">
        <f>15830378694.72</f>
        <v>15830378694.719999</v>
      </c>
      <c r="K19" s="22">
        <f>612937264.9</f>
        <v>612937264.89999998</v>
      </c>
      <c r="L19" s="22">
        <f>1589290724.4</f>
        <v>1589290724.4000001</v>
      </c>
      <c r="M19" s="22">
        <f>137853.49</f>
        <v>137853.49</v>
      </c>
      <c r="N19" s="22">
        <f>0</f>
        <v>0</v>
      </c>
      <c r="O19" s="22">
        <f>21431485066.97</f>
        <v>21431485066.970001</v>
      </c>
      <c r="P19" s="22">
        <f>21147962395.43</f>
        <v>21147962395.43</v>
      </c>
      <c r="Q19" s="22">
        <f>283522671.54</f>
        <v>283522671.54000002</v>
      </c>
    </row>
    <row r="20" spans="1:17" ht="38.25" customHeight="1" x14ac:dyDescent="0.25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5">
      <c r="A21" s="20" t="s">
        <v>80</v>
      </c>
      <c r="B21" s="21">
        <f>20728605.48</f>
        <v>20728605.48</v>
      </c>
      <c r="C21" s="21">
        <f>20728605.48</f>
        <v>20728605.48</v>
      </c>
      <c r="D21" s="21">
        <f>6552768.21</f>
        <v>6552768.21</v>
      </c>
      <c r="E21" s="21">
        <f>155.48</f>
        <v>155.47999999999999</v>
      </c>
      <c r="F21" s="21">
        <f>0</f>
        <v>0</v>
      </c>
      <c r="G21" s="21">
        <f>6552612.73</f>
        <v>6552612.7300000004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2041372.19</f>
        <v>2041372.19</v>
      </c>
      <c r="M21" s="21">
        <f>10929400.18</f>
        <v>10929400.18</v>
      </c>
      <c r="N21" s="21">
        <f>1205064.9</f>
        <v>1205064.8999999999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5">
      <c r="A22" s="18" t="s">
        <v>55</v>
      </c>
      <c r="B22" s="22">
        <f>13996868.41</f>
        <v>13996868.41</v>
      </c>
      <c r="C22" s="22">
        <f>13996868.41</f>
        <v>13996868.41</v>
      </c>
      <c r="D22" s="22">
        <f>2768000.15</f>
        <v>2768000.15</v>
      </c>
      <c r="E22" s="22">
        <f>155.48</f>
        <v>155.47999999999999</v>
      </c>
      <c r="F22" s="22">
        <f>0</f>
        <v>0</v>
      </c>
      <c r="G22" s="22">
        <f>2767844.67</f>
        <v>2767844.67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187020.79</f>
        <v>187020.79</v>
      </c>
      <c r="M22" s="22">
        <f>9846865.87</f>
        <v>9846865.8699999992</v>
      </c>
      <c r="N22" s="22">
        <f>1194981.6</f>
        <v>1194981.6000000001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5">
      <c r="A23" s="18" t="s">
        <v>56</v>
      </c>
      <c r="B23" s="22">
        <f>6731737.07</f>
        <v>6731737.0700000003</v>
      </c>
      <c r="C23" s="22">
        <f>6731737.07</f>
        <v>6731737.0700000003</v>
      </c>
      <c r="D23" s="22">
        <f>3784768.06</f>
        <v>3784768.06</v>
      </c>
      <c r="E23" s="22">
        <f>0</f>
        <v>0</v>
      </c>
      <c r="F23" s="22">
        <f>0</f>
        <v>0</v>
      </c>
      <c r="G23" s="22">
        <f>3784768.06</f>
        <v>3784768.06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1854351.4</f>
        <v>1854351.4</v>
      </c>
      <c r="M23" s="22">
        <f>1082534.31</f>
        <v>1082534.31</v>
      </c>
      <c r="N23" s="22">
        <f>10083.3</f>
        <v>10083.299999999999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5">
      <c r="A30" s="36" t="str">
        <f>CONCATENATE("Informacja z wykonania budżetów miast na prawach powiatu za  ",$C$93," ",$B$94," roku     ",$B$96,"")</f>
        <v xml:space="preserve">Informacja z wykonania budżetów miast na prawach powiatu za  III Kwartały 2022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5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5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5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5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5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5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5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5">
      <c r="A40" s="25" t="s">
        <v>42</v>
      </c>
      <c r="B40" s="23">
        <f>14770376.86</f>
        <v>14770376.859999999</v>
      </c>
      <c r="C40" s="23">
        <f>14770376.86</f>
        <v>14770376.859999999</v>
      </c>
      <c r="D40" s="23">
        <f>926428</f>
        <v>926428</v>
      </c>
      <c r="E40" s="23">
        <f>74021</f>
        <v>74021</v>
      </c>
      <c r="F40" s="23">
        <f>0</f>
        <v>0</v>
      </c>
      <c r="G40" s="23">
        <f>852407</f>
        <v>852407</v>
      </c>
      <c r="H40" s="23">
        <f>0</f>
        <v>0</v>
      </c>
      <c r="I40" s="23">
        <f>0</f>
        <v>0</v>
      </c>
      <c r="J40" s="23">
        <f>0</f>
        <v>0</v>
      </c>
      <c r="K40" s="23">
        <f>4560</f>
        <v>4560</v>
      </c>
      <c r="L40" s="23">
        <f>1821530.37</f>
        <v>1821530.37</v>
      </c>
      <c r="M40" s="23">
        <f>12017858.49</f>
        <v>12017858.49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5">
      <c r="A41" s="19" t="s">
        <v>30</v>
      </c>
      <c r="B41" s="24">
        <f>14661526.96</f>
        <v>14661526.960000001</v>
      </c>
      <c r="C41" s="24">
        <f>14661526.96</f>
        <v>14661526.960000001</v>
      </c>
      <c r="D41" s="24">
        <f>926428</f>
        <v>926428</v>
      </c>
      <c r="E41" s="24">
        <f>74021</f>
        <v>74021</v>
      </c>
      <c r="F41" s="24">
        <f>0</f>
        <v>0</v>
      </c>
      <c r="G41" s="24">
        <f>852407</f>
        <v>852407</v>
      </c>
      <c r="H41" s="24">
        <f>0</f>
        <v>0</v>
      </c>
      <c r="I41" s="24">
        <f>0</f>
        <v>0</v>
      </c>
      <c r="J41" s="24">
        <f>0</f>
        <v>0</v>
      </c>
      <c r="K41" s="24">
        <f>4560</f>
        <v>4560</v>
      </c>
      <c r="L41" s="24">
        <f>1712680.47</f>
        <v>1712680.47</v>
      </c>
      <c r="M41" s="24">
        <f>12017858.49</f>
        <v>12017858.49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5">
      <c r="A42" s="19" t="s">
        <v>31</v>
      </c>
      <c r="B42" s="24">
        <f>108849.9</f>
        <v>108849.9</v>
      </c>
      <c r="C42" s="24">
        <f>108849.9</f>
        <v>108849.9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108849.9</f>
        <v>108849.9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5">
      <c r="A43" s="25" t="s">
        <v>43</v>
      </c>
      <c r="B43" s="23">
        <f>382042202.4</f>
        <v>382042202.39999998</v>
      </c>
      <c r="C43" s="23">
        <f>382042202.4</f>
        <v>382042202.39999998</v>
      </c>
      <c r="D43" s="23">
        <f>130936719.52</f>
        <v>130936719.52</v>
      </c>
      <c r="E43" s="23">
        <f>0</f>
        <v>0</v>
      </c>
      <c r="F43" s="23">
        <f>17222.5</f>
        <v>17222.5</v>
      </c>
      <c r="G43" s="23">
        <f>130919497.02</f>
        <v>130919497.02</v>
      </c>
      <c r="H43" s="23">
        <f>0</f>
        <v>0</v>
      </c>
      <c r="I43" s="23">
        <f>0</f>
        <v>0</v>
      </c>
      <c r="J43" s="23">
        <f>0</f>
        <v>0</v>
      </c>
      <c r="K43" s="23">
        <f>0</f>
        <v>0</v>
      </c>
      <c r="L43" s="23">
        <f>173938186.71</f>
        <v>173938186.71000001</v>
      </c>
      <c r="M43" s="23">
        <f>70852358.54</f>
        <v>70852358.540000007</v>
      </c>
      <c r="N43" s="23">
        <f>6314937.63</f>
        <v>6314937.6299999999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5">
      <c r="A44" s="19" t="s">
        <v>32</v>
      </c>
      <c r="B44" s="24">
        <f>44050724.86</f>
        <v>44050724.859999999</v>
      </c>
      <c r="C44" s="24">
        <f>44050724.86</f>
        <v>44050724.859999999</v>
      </c>
      <c r="D44" s="24">
        <f>19556040.13</f>
        <v>19556040.129999999</v>
      </c>
      <c r="E44" s="24">
        <f>0</f>
        <v>0</v>
      </c>
      <c r="F44" s="24">
        <f>0</f>
        <v>0</v>
      </c>
      <c r="G44" s="24">
        <f>19556040.13</f>
        <v>19556040.129999999</v>
      </c>
      <c r="H44" s="24">
        <f>0</f>
        <v>0</v>
      </c>
      <c r="I44" s="24">
        <f>0</f>
        <v>0</v>
      </c>
      <c r="J44" s="24">
        <f>0</f>
        <v>0</v>
      </c>
      <c r="K44" s="24">
        <f>0</f>
        <v>0</v>
      </c>
      <c r="L44" s="24">
        <f>17024568.43</f>
        <v>17024568.43</v>
      </c>
      <c r="M44" s="24">
        <f>6270116.3</f>
        <v>6270116.2999999998</v>
      </c>
      <c r="N44" s="24">
        <f>1200000</f>
        <v>1200000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5">
      <c r="A45" s="19" t="s">
        <v>33</v>
      </c>
      <c r="B45" s="24">
        <f>337991477.54</f>
        <v>337991477.54000002</v>
      </c>
      <c r="C45" s="24">
        <f>337991477.54</f>
        <v>337991477.54000002</v>
      </c>
      <c r="D45" s="24">
        <f>111380679.39</f>
        <v>111380679.39</v>
      </c>
      <c r="E45" s="24">
        <f>0</f>
        <v>0</v>
      </c>
      <c r="F45" s="24">
        <f>17222.5</f>
        <v>17222.5</v>
      </c>
      <c r="G45" s="24">
        <f>111363456.89</f>
        <v>111363456.89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156913618.28</f>
        <v>156913618.28</v>
      </c>
      <c r="M45" s="24">
        <f>64582242.24</f>
        <v>64582242.240000002</v>
      </c>
      <c r="N45" s="24">
        <f>5114937.63</f>
        <v>5114937.63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5">
      <c r="A46" s="25" t="s">
        <v>44</v>
      </c>
      <c r="B46" s="23">
        <f>14388781471.82</f>
        <v>14388781471.82</v>
      </c>
      <c r="C46" s="23">
        <f>14388781471.82</f>
        <v>14388781471.82</v>
      </c>
      <c r="D46" s="23">
        <f>16140736.29</f>
        <v>16140736.289999999</v>
      </c>
      <c r="E46" s="23">
        <f>91163.34</f>
        <v>91163.34</v>
      </c>
      <c r="F46" s="23">
        <f>28291</f>
        <v>28291</v>
      </c>
      <c r="G46" s="23">
        <f>16021281.95</f>
        <v>16021281.949999999</v>
      </c>
      <c r="H46" s="23">
        <f>0</f>
        <v>0</v>
      </c>
      <c r="I46" s="23">
        <f>12514383.32</f>
        <v>12514383.32</v>
      </c>
      <c r="J46" s="23">
        <f>14357930815.25</f>
        <v>14357930815.25</v>
      </c>
      <c r="K46" s="23">
        <f>46751.9</f>
        <v>46751.9</v>
      </c>
      <c r="L46" s="23">
        <f>1941870.89</f>
        <v>1941870.89</v>
      </c>
      <c r="M46" s="23">
        <f>49898.91</f>
        <v>49898.91</v>
      </c>
      <c r="N46" s="23">
        <f>157015.26</f>
        <v>157015.26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5">
      <c r="A47" s="19" t="s">
        <v>34</v>
      </c>
      <c r="B47" s="24">
        <f>7944248.2</f>
        <v>7944248.2000000002</v>
      </c>
      <c r="C47" s="24">
        <f>7944248.2</f>
        <v>7944248.2000000002</v>
      </c>
      <c r="D47" s="24">
        <f>7944248.2</f>
        <v>7944248.2000000002</v>
      </c>
      <c r="E47" s="24">
        <f>0</f>
        <v>0</v>
      </c>
      <c r="F47" s="24">
        <f>0</f>
        <v>0</v>
      </c>
      <c r="G47" s="24">
        <f>7944248.2</f>
        <v>7944248.2000000002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5">
      <c r="A48" s="19" t="s">
        <v>35</v>
      </c>
      <c r="B48" s="24">
        <f>7520600901.17</f>
        <v>7520600901.1700001</v>
      </c>
      <c r="C48" s="24">
        <f>7520600901.17</f>
        <v>7520600901.1700001</v>
      </c>
      <c r="D48" s="24">
        <f>7987283.48</f>
        <v>7987283.4800000004</v>
      </c>
      <c r="E48" s="24">
        <f>14000</f>
        <v>14000</v>
      </c>
      <c r="F48" s="24">
        <f>0</f>
        <v>0</v>
      </c>
      <c r="G48" s="24">
        <f>7973283.48</f>
        <v>7973283.4800000004</v>
      </c>
      <c r="H48" s="24">
        <f>0</f>
        <v>0</v>
      </c>
      <c r="I48" s="24">
        <f>12461967.32</f>
        <v>12461967.32</v>
      </c>
      <c r="J48" s="24">
        <f>7499284558.26</f>
        <v>7499284558.2600002</v>
      </c>
      <c r="K48" s="24">
        <f>46751.9</f>
        <v>46751.9</v>
      </c>
      <c r="L48" s="24">
        <f>820340.21</f>
        <v>820340.21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5">
      <c r="A49" s="19" t="s">
        <v>36</v>
      </c>
      <c r="B49" s="24">
        <f>6860236322.45</f>
        <v>6860236322.4499998</v>
      </c>
      <c r="C49" s="24">
        <f>6860236322.45</f>
        <v>6860236322.4499998</v>
      </c>
      <c r="D49" s="24">
        <f>209204.61</f>
        <v>209204.61</v>
      </c>
      <c r="E49" s="24">
        <f>77163.34</f>
        <v>77163.34</v>
      </c>
      <c r="F49" s="24">
        <f>28291</f>
        <v>28291</v>
      </c>
      <c r="G49" s="24">
        <f>103750.27</f>
        <v>103750.27</v>
      </c>
      <c r="H49" s="24">
        <f>0</f>
        <v>0</v>
      </c>
      <c r="I49" s="24">
        <f>52416</f>
        <v>52416</v>
      </c>
      <c r="J49" s="24">
        <f>6858646256.99</f>
        <v>6858646256.9899998</v>
      </c>
      <c r="K49" s="24">
        <f>0</f>
        <v>0</v>
      </c>
      <c r="L49" s="24">
        <f>1121530.68</f>
        <v>1121530.68</v>
      </c>
      <c r="M49" s="24">
        <f>49898.91</f>
        <v>49898.91</v>
      </c>
      <c r="N49" s="24">
        <f>157015.26</f>
        <v>157015.26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5">
      <c r="A50" s="25" t="s">
        <v>45</v>
      </c>
      <c r="B50" s="23">
        <f>12194916975.17</f>
        <v>12194916975.17</v>
      </c>
      <c r="C50" s="23">
        <f>12169592794.95</f>
        <v>12169592794.950001</v>
      </c>
      <c r="D50" s="23">
        <f>374266360.74</f>
        <v>374266360.74000001</v>
      </c>
      <c r="E50" s="23">
        <f>69934663.63</f>
        <v>69934663.629999995</v>
      </c>
      <c r="F50" s="23">
        <f>8939060.98</f>
        <v>8939060.9800000004</v>
      </c>
      <c r="G50" s="23">
        <f>294841666.35</f>
        <v>294841666.35000002</v>
      </c>
      <c r="H50" s="23">
        <f>550969.78</f>
        <v>550969.78</v>
      </c>
      <c r="I50" s="23">
        <f>658.67</f>
        <v>658.67</v>
      </c>
      <c r="J50" s="23">
        <f>480170.34</f>
        <v>480170.34</v>
      </c>
      <c r="K50" s="23">
        <f>2677105.72</f>
        <v>2677105.7200000002</v>
      </c>
      <c r="L50" s="23">
        <f>2698767519.49</f>
        <v>2698767519.4899998</v>
      </c>
      <c r="M50" s="23">
        <f>8967219326.08</f>
        <v>8967219326.0799999</v>
      </c>
      <c r="N50" s="23">
        <f>126181653.91</f>
        <v>126181653.91</v>
      </c>
      <c r="O50" s="23">
        <f>25324180.22</f>
        <v>25324180.219999999</v>
      </c>
      <c r="P50" s="23">
        <f>14130648.12</f>
        <v>14130648.119999999</v>
      </c>
      <c r="Q50" s="23">
        <f>11193532.1</f>
        <v>11193532.1</v>
      </c>
    </row>
    <row r="51" spans="1:17" ht="26.25" customHeight="1" x14ac:dyDescent="0.25">
      <c r="A51" s="19" t="s">
        <v>37</v>
      </c>
      <c r="B51" s="24">
        <f>5070202232.27</f>
        <v>5070202232.2700005</v>
      </c>
      <c r="C51" s="24">
        <f>5068109656.58</f>
        <v>5068109656.5799999</v>
      </c>
      <c r="D51" s="24">
        <f>74376174.36</f>
        <v>74376174.359999999</v>
      </c>
      <c r="E51" s="24">
        <f>1629632.48</f>
        <v>1629632.48</v>
      </c>
      <c r="F51" s="24">
        <f>2665549.97</f>
        <v>2665549.9700000002</v>
      </c>
      <c r="G51" s="24">
        <f>70070546.72</f>
        <v>70070546.719999999</v>
      </c>
      <c r="H51" s="24">
        <f>10445.19</f>
        <v>10445.19</v>
      </c>
      <c r="I51" s="24">
        <f>0</f>
        <v>0</v>
      </c>
      <c r="J51" s="24">
        <f>22043.51</f>
        <v>22043.51</v>
      </c>
      <c r="K51" s="24">
        <f>340604.22</f>
        <v>340604.22</v>
      </c>
      <c r="L51" s="24">
        <f>681131629.24</f>
        <v>681131629.24000001</v>
      </c>
      <c r="M51" s="24">
        <f>4237727389.65</f>
        <v>4237727389.6500001</v>
      </c>
      <c r="N51" s="24">
        <f>74511815.6</f>
        <v>74511815.599999994</v>
      </c>
      <c r="O51" s="24">
        <f>2092575.69</f>
        <v>2092575.69</v>
      </c>
      <c r="P51" s="24">
        <f>547611.47</f>
        <v>547611.47</v>
      </c>
      <c r="Q51" s="24">
        <f>1544964.22</f>
        <v>1544964.22</v>
      </c>
    </row>
    <row r="52" spans="1:17" ht="26.25" customHeight="1" x14ac:dyDescent="0.25">
      <c r="A52" s="19" t="s">
        <v>38</v>
      </c>
      <c r="B52" s="24">
        <f>7124714742.9</f>
        <v>7124714742.8999996</v>
      </c>
      <c r="C52" s="24">
        <f>7101483138.37</f>
        <v>7101483138.3699999</v>
      </c>
      <c r="D52" s="24">
        <f>299890186.38</f>
        <v>299890186.38</v>
      </c>
      <c r="E52" s="24">
        <f>68305031.15</f>
        <v>68305031.150000006</v>
      </c>
      <c r="F52" s="24">
        <f>6273511.01</f>
        <v>6273511.0099999998</v>
      </c>
      <c r="G52" s="24">
        <f>224771119.63</f>
        <v>224771119.63</v>
      </c>
      <c r="H52" s="24">
        <f>540524.59</f>
        <v>540524.59</v>
      </c>
      <c r="I52" s="24">
        <f>658.67</f>
        <v>658.67</v>
      </c>
      <c r="J52" s="24">
        <f>458126.83</f>
        <v>458126.83</v>
      </c>
      <c r="K52" s="24">
        <f>2336501.5</f>
        <v>2336501.5</v>
      </c>
      <c r="L52" s="24">
        <f>2017635890.25</f>
        <v>2017635890.25</v>
      </c>
      <c r="M52" s="24">
        <f>4729491936.43</f>
        <v>4729491936.4300003</v>
      </c>
      <c r="N52" s="24">
        <f>51669838.31</f>
        <v>51669838.310000002</v>
      </c>
      <c r="O52" s="24">
        <f>23231604.53</f>
        <v>23231604.530000001</v>
      </c>
      <c r="P52" s="24">
        <f>13583036.65</f>
        <v>13583036.65</v>
      </c>
      <c r="Q52" s="24">
        <f>9648567.88</f>
        <v>9648567.8800000008</v>
      </c>
    </row>
    <row r="53" spans="1:17" ht="26.25" customHeight="1" x14ac:dyDescent="0.25">
      <c r="A53" s="25" t="s">
        <v>46</v>
      </c>
      <c r="B53" s="23">
        <f>6401891465.47</f>
        <v>6401891465.4700003</v>
      </c>
      <c r="C53" s="23">
        <f>6358506602.74</f>
        <v>6358506602.7399998</v>
      </c>
      <c r="D53" s="23">
        <f>691291561.21</f>
        <v>691291561.21000004</v>
      </c>
      <c r="E53" s="23">
        <f>332798334.54</f>
        <v>332798334.54000002</v>
      </c>
      <c r="F53" s="23">
        <f>34398966.76</f>
        <v>34398966.759999998</v>
      </c>
      <c r="G53" s="23">
        <f>310537824.73</f>
        <v>310537824.73000002</v>
      </c>
      <c r="H53" s="23">
        <f>13556435.18</f>
        <v>13556435.18</v>
      </c>
      <c r="I53" s="23">
        <f>1121279.44</f>
        <v>1121279.44</v>
      </c>
      <c r="J53" s="23">
        <f>12465076.71</f>
        <v>12465076.710000001</v>
      </c>
      <c r="K53" s="23">
        <f>6715233.37</f>
        <v>6715233.3700000001</v>
      </c>
      <c r="L53" s="23">
        <f>3823417909.92</f>
        <v>3823417909.9200001</v>
      </c>
      <c r="M53" s="23">
        <f>1678701038.19</f>
        <v>1678701038.1900001</v>
      </c>
      <c r="N53" s="23">
        <f>144794503.9</f>
        <v>144794503.90000001</v>
      </c>
      <c r="O53" s="23">
        <f>43384862.73</f>
        <v>43384862.729999997</v>
      </c>
      <c r="P53" s="23">
        <f>37964816.52</f>
        <v>37964816.520000003</v>
      </c>
      <c r="Q53" s="23">
        <f>5420046.21</f>
        <v>5420046.21</v>
      </c>
    </row>
    <row r="54" spans="1:17" ht="26.25" customHeight="1" x14ac:dyDescent="0.25">
      <c r="A54" s="19" t="s">
        <v>39</v>
      </c>
      <c r="B54" s="24">
        <f>796418929.49</f>
        <v>796418929.49000001</v>
      </c>
      <c r="C54" s="24">
        <f>796129019.53</f>
        <v>796129019.52999997</v>
      </c>
      <c r="D54" s="24">
        <f>49454836.78</f>
        <v>49454836.780000001</v>
      </c>
      <c r="E54" s="24">
        <f>2664086.13</f>
        <v>2664086.13</v>
      </c>
      <c r="F54" s="24">
        <f>2000640.97</f>
        <v>2000640.97</v>
      </c>
      <c r="G54" s="24">
        <f>43448371.2</f>
        <v>43448371.200000003</v>
      </c>
      <c r="H54" s="24">
        <f>1341738.48</f>
        <v>1341738.48</v>
      </c>
      <c r="I54" s="24">
        <f>2340</f>
        <v>2340</v>
      </c>
      <c r="J54" s="24">
        <f>135331.9</f>
        <v>135331.9</v>
      </c>
      <c r="K54" s="24">
        <f>458059.33</f>
        <v>458059.33</v>
      </c>
      <c r="L54" s="24">
        <f>295888001.11</f>
        <v>295888001.11000001</v>
      </c>
      <c r="M54" s="24">
        <f>435842712.6</f>
        <v>435842712.60000002</v>
      </c>
      <c r="N54" s="24">
        <f>14347737.81</f>
        <v>14347737.810000001</v>
      </c>
      <c r="O54" s="24">
        <f>289909.96</f>
        <v>289909.96000000002</v>
      </c>
      <c r="P54" s="24">
        <f>272923.56</f>
        <v>272923.56</v>
      </c>
      <c r="Q54" s="24">
        <f>16986.4</f>
        <v>16986.400000000001</v>
      </c>
    </row>
    <row r="55" spans="1:17" ht="36.75" customHeight="1" x14ac:dyDescent="0.25">
      <c r="A55" s="19" t="s">
        <v>40</v>
      </c>
      <c r="B55" s="24">
        <f>2779856100.54</f>
        <v>2779856100.54</v>
      </c>
      <c r="C55" s="24">
        <f>2773545692.54</f>
        <v>2773545692.54</v>
      </c>
      <c r="D55" s="24">
        <f>193450537.96</f>
        <v>193450537.96000001</v>
      </c>
      <c r="E55" s="24">
        <f>59100223.56</f>
        <v>59100223.560000002</v>
      </c>
      <c r="F55" s="24">
        <f>24858083.41</f>
        <v>24858083.41</v>
      </c>
      <c r="G55" s="24">
        <f>99892941.61</f>
        <v>99892941.609999999</v>
      </c>
      <c r="H55" s="24">
        <f>9599289.38</f>
        <v>9599289.3800000008</v>
      </c>
      <c r="I55" s="24">
        <f>1096017.08</f>
        <v>1096017.08</v>
      </c>
      <c r="J55" s="24">
        <f>4975333.6</f>
        <v>4975333.5999999996</v>
      </c>
      <c r="K55" s="24">
        <f>4250219.9</f>
        <v>4250219.9000000004</v>
      </c>
      <c r="L55" s="24">
        <f>2174837255.54</f>
        <v>2174837255.54</v>
      </c>
      <c r="M55" s="24">
        <f>376387964.76</f>
        <v>376387964.75999999</v>
      </c>
      <c r="N55" s="24">
        <f>18548363.7</f>
        <v>18548363.699999999</v>
      </c>
      <c r="O55" s="24">
        <f>6310408</f>
        <v>6310408</v>
      </c>
      <c r="P55" s="24">
        <f>5514083.53</f>
        <v>5514083.5300000003</v>
      </c>
      <c r="Q55" s="24">
        <f>796324.47</f>
        <v>796324.47</v>
      </c>
    </row>
    <row r="56" spans="1:17" ht="26.25" customHeight="1" x14ac:dyDescent="0.25">
      <c r="A56" s="19" t="s">
        <v>41</v>
      </c>
      <c r="B56" s="24">
        <f>2825616435.44</f>
        <v>2825616435.4400001</v>
      </c>
      <c r="C56" s="24">
        <f>2788831890.67</f>
        <v>2788831890.6700001</v>
      </c>
      <c r="D56" s="24">
        <f>448386186.47</f>
        <v>448386186.47000003</v>
      </c>
      <c r="E56" s="24">
        <f>271034024.85</f>
        <v>271034024.85000002</v>
      </c>
      <c r="F56" s="24">
        <f>7540242.38</f>
        <v>7540242.3799999999</v>
      </c>
      <c r="G56" s="24">
        <f>167196511.92</f>
        <v>167196511.91999999</v>
      </c>
      <c r="H56" s="24">
        <f>2615407.32</f>
        <v>2615407.3199999998</v>
      </c>
      <c r="I56" s="24">
        <f>22922.36</f>
        <v>22922.36</v>
      </c>
      <c r="J56" s="24">
        <f>7354411.21</f>
        <v>7354411.21</v>
      </c>
      <c r="K56" s="24">
        <f>2006954.14</f>
        <v>2006954.14</v>
      </c>
      <c r="L56" s="24">
        <f>1352692653.27</f>
        <v>1352692653.27</v>
      </c>
      <c r="M56" s="24">
        <f>866470360.83</f>
        <v>866470360.83000004</v>
      </c>
      <c r="N56" s="24">
        <f>111898402.39</f>
        <v>111898402.39</v>
      </c>
      <c r="O56" s="24">
        <f>36784544.77</f>
        <v>36784544.770000003</v>
      </c>
      <c r="P56" s="24">
        <f>32177809.43</f>
        <v>32177809.43</v>
      </c>
      <c r="Q56" s="24">
        <f>4606735.34</f>
        <v>4606735.34</v>
      </c>
    </row>
    <row r="66" spans="1:13" ht="75" customHeight="1" x14ac:dyDescent="0.25">
      <c r="A66" s="36" t="str">
        <f>CONCATENATE("Informacja z wykonania budżetów miast na prawach powiatu za  ",$C$93," ",$B$94," roku     ",$B$96,"")</f>
        <v xml:space="preserve">Informacja z wykonania budżetów miast na prawach powiatu za  III Kwartały 2022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5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5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5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5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5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5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5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5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5">
      <c r="B76" s="53" t="s">
        <v>57</v>
      </c>
      <c r="C76" s="54"/>
      <c r="D76" s="54"/>
      <c r="E76" s="55"/>
      <c r="F76" s="22">
        <f>1792455868.74</f>
        <v>1792455868.74</v>
      </c>
      <c r="G76" s="22">
        <f>254829279.49</f>
        <v>254829279.49000001</v>
      </c>
      <c r="H76" s="22">
        <f>19147000</f>
        <v>19147000</v>
      </c>
      <c r="I76" s="22">
        <f>131430360.61</f>
        <v>131430360.61</v>
      </c>
      <c r="J76" s="22">
        <f>104251918.88</f>
        <v>104251918.88</v>
      </c>
      <c r="K76" s="22">
        <f>0</f>
        <v>0</v>
      </c>
      <c r="L76" s="22">
        <f>1537626589.25</f>
        <v>1537626589.25</v>
      </c>
    </row>
    <row r="77" spans="1:13" ht="47.25" customHeight="1" x14ac:dyDescent="0.25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5">
      <c r="B78" s="53" t="s">
        <v>59</v>
      </c>
      <c r="C78" s="54"/>
      <c r="D78" s="54"/>
      <c r="E78" s="55"/>
      <c r="F78" s="22">
        <f>94316295.92</f>
        <v>94316295.920000002</v>
      </c>
      <c r="G78" s="22">
        <f>1130000</f>
        <v>1130000</v>
      </c>
      <c r="H78" s="22">
        <f>0</f>
        <v>0</v>
      </c>
      <c r="I78" s="22">
        <f>0</f>
        <v>0</v>
      </c>
      <c r="J78" s="22">
        <f>1130000</f>
        <v>1130000</v>
      </c>
      <c r="K78" s="22">
        <f>0</f>
        <v>0</v>
      </c>
      <c r="L78" s="22">
        <f>93186295.92</f>
        <v>93186295.920000002</v>
      </c>
    </row>
    <row r="79" spans="1:13" ht="47.25" customHeight="1" x14ac:dyDescent="0.25">
      <c r="B79" s="53" t="s">
        <v>60</v>
      </c>
      <c r="C79" s="54"/>
      <c r="D79" s="54"/>
      <c r="E79" s="55"/>
      <c r="F79" s="22">
        <f>17440039.91</f>
        <v>17440039.91</v>
      </c>
      <c r="G79" s="22">
        <f>0</f>
        <v>0</v>
      </c>
      <c r="H79" s="22">
        <f>0</f>
        <v>0</v>
      </c>
      <c r="I79" s="22">
        <f>0</f>
        <v>0</v>
      </c>
      <c r="J79" s="22">
        <f>0</f>
        <v>0</v>
      </c>
      <c r="K79" s="22">
        <f>0</f>
        <v>0</v>
      </c>
      <c r="L79" s="22">
        <f>17440039.91</f>
        <v>17440039.91</v>
      </c>
    </row>
    <row r="80" spans="1:13" ht="47.25" customHeight="1" x14ac:dyDescent="0.25">
      <c r="B80" s="53" t="s">
        <v>61</v>
      </c>
      <c r="C80" s="54"/>
      <c r="D80" s="54"/>
      <c r="E80" s="55"/>
      <c r="F80" s="22">
        <f>3606610.79</f>
        <v>3606610.79</v>
      </c>
      <c r="G80" s="22">
        <f>0</f>
        <v>0</v>
      </c>
      <c r="H80" s="22">
        <f>0</f>
        <v>0</v>
      </c>
      <c r="I80" s="22">
        <f>0</f>
        <v>0</v>
      </c>
      <c r="J80" s="22">
        <f>0</f>
        <v>0</v>
      </c>
      <c r="K80" s="22">
        <f>0</f>
        <v>0</v>
      </c>
      <c r="L80" s="22">
        <f>3606610.79</f>
        <v>3606610.79</v>
      </c>
    </row>
    <row r="81" spans="1:13" ht="47.25" customHeight="1" x14ac:dyDescent="0.25">
      <c r="B81" s="53" t="s">
        <v>62</v>
      </c>
      <c r="C81" s="54"/>
      <c r="D81" s="54"/>
      <c r="E81" s="55"/>
      <c r="F81" s="22">
        <f>16851502.12</f>
        <v>16851502.120000001</v>
      </c>
      <c r="G81" s="22">
        <f>1620520.5</f>
        <v>1620520.5</v>
      </c>
      <c r="H81" s="22">
        <f>0</f>
        <v>0</v>
      </c>
      <c r="I81" s="22">
        <f>0</f>
        <v>0</v>
      </c>
      <c r="J81" s="22">
        <f>1620520.5</f>
        <v>1620520.5</v>
      </c>
      <c r="K81" s="22">
        <f>0</f>
        <v>0</v>
      </c>
      <c r="L81" s="22">
        <f>15230981.62</f>
        <v>15230981.619999999</v>
      </c>
    </row>
    <row r="82" spans="1:13" ht="47.25" customHeight="1" x14ac:dyDescent="0.25">
      <c r="B82" s="53" t="s">
        <v>63</v>
      </c>
      <c r="C82" s="54"/>
      <c r="D82" s="54"/>
      <c r="E82" s="55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5">
      <c r="A85" s="36" t="str">
        <f>CONCATENATE("Informacja z wykonania budżetów miast na prawach powiatu za  ",$C$93," ",$B$94," roku     ",$B$96,"")</f>
        <v xml:space="preserve">Informacja z wykonania budżetów miast na prawach powiatu za  III Kwartały 2022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5">
      <c r="B86" s="4"/>
    </row>
    <row r="87" spans="1:13" ht="13.5" customHeight="1" x14ac:dyDescent="0.25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5">
      <c r="B88" s="6"/>
      <c r="C88" s="53" t="s">
        <v>6</v>
      </c>
      <c r="D88" s="54"/>
      <c r="E88" s="54"/>
      <c r="F88" s="55"/>
      <c r="G88" s="59">
        <f>43</f>
        <v>43</v>
      </c>
      <c r="H88" s="60"/>
      <c r="I88" s="46">
        <f>2846607116.21</f>
        <v>2846607116.21</v>
      </c>
      <c r="J88" s="47"/>
      <c r="K88" s="7"/>
    </row>
    <row r="89" spans="1:13" ht="13.5" customHeight="1" x14ac:dyDescent="0.25">
      <c r="B89" s="6"/>
      <c r="C89" s="56" t="s">
        <v>7</v>
      </c>
      <c r="D89" s="57"/>
      <c r="E89" s="57"/>
      <c r="F89" s="58"/>
      <c r="G89" s="63">
        <f>23</f>
        <v>23</v>
      </c>
      <c r="H89" s="64"/>
      <c r="I89" s="48">
        <f>-727226236.62</f>
        <v>-727226236.62</v>
      </c>
      <c r="J89" s="49"/>
      <c r="K89" s="7"/>
    </row>
    <row r="90" spans="1:13" ht="13.5" customHeight="1" x14ac:dyDescent="0.25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5">
      <c r="A93" s="8" t="s">
        <v>9</v>
      </c>
      <c r="B93" s="8">
        <f>3</f>
        <v>3</v>
      </c>
      <c r="C93" s="8" t="str">
        <f>IF(B93=1,"I Kwartał",IF(B93=2,"II Kwartały",IF(B93=3,"III Kwartały",IF(B93=4,"IV Kwartały","-"))))</f>
        <v>III Kwartały</v>
      </c>
    </row>
    <row r="94" spans="1:13" ht="13.5" customHeight="1" x14ac:dyDescent="0.25">
      <c r="A94" s="8" t="s">
        <v>10</v>
      </c>
      <c r="B94" s="8">
        <f>2022</f>
        <v>2022</v>
      </c>
      <c r="C94" s="9"/>
    </row>
    <row r="95" spans="1:13" ht="13.5" customHeight="1" x14ac:dyDescent="0.25">
      <c r="A95" s="8" t="s">
        <v>11</v>
      </c>
      <c r="B95" s="10" t="str">
        <f>"Nov 18 2022 12:00AM"</f>
        <v>Nov 18 2022 12:00AM</v>
      </c>
      <c r="C95" s="9"/>
    </row>
    <row r="96" spans="1:13" ht="13.5" customHeight="1" x14ac:dyDescent="0.25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2022-11-29T14:30:02Z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2022-11-29T15:29:59.1463741+01:00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GRN-9ac3a006-717c-4e44-a535-16042525fcf9</vt:lpwstr>
  </property>
  <property fmtid="{D5CDD505-2E9C-101B-9397-08002B2CF9AE}" pid="7" name="MFHash">
    <vt:lpwstr>vLQhlymP2RIxfBNF3E8cQj6+98WFameeGU5P2D0JvBQ=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