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'doch_wyd'!$A$1:$L$91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7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<sst xmlns="http://schemas.openxmlformats.org/spreadsheetml/2006/main" count="107" uniqueCount="84">
  <si>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</si>
  <si>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</si>
  <si>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</si>
  <si>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</si>
  <si>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</si>
  <si>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</si>
  <si>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</si>
  <si>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</si>
  <si>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</si>
  <si>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</si>
  <si>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</si>
  <si>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</si>
  <si>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</si>
  <si>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</si>
  <si>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</si>
  <si>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</si>
  <si>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</si>
  <si>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</si>
  <si>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</si>
  <si>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</si>
  <si>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</si>
  <si>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</si>
  <si>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</si>
  <si>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</si>
  <si>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</si>
  <si>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>Wskaźnik 
(4:2)</t>
  </si>
  <si>
    <t>pozostałe wydatki</t>
  </si>
  <si>
    <t>wydatki na obsługę długu</t>
  </si>
  <si>
    <t>dotacje</t>
  </si>
  <si>
    <t>Razem dochody własne 
z tego:</t>
  </si>
  <si>
    <t>Dotacje celowe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</si>
  <si>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</si>
  <si>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</si>
  <si>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</si>
  <si>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</si>
  <si>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</si>
  <si>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</si>
  <si>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w tym: inwestycyjne § 620</t>
  </si>
  <si>
    <t>Dotacje §§ 200 i 620</t>
  </si>
  <si>
    <t>w złotych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</si>
  <si>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</si>
  <si>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</si>
  <si>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</si>
  <si>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</si>
  <si>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</si>
  <si>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</si>
  <si>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</si>
  <si>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</si>
  <si>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</si>
  <si>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</si>
  <si>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</si>
  <si>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</si>
  <si>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</si>
  <si>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</si>
  <si>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</si>
  <si>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Dotacje §§ 205 i 625</t>
  </si>
  <si>
    <t>w tym: inwestycyjne § 625</t>
  </si>
  <si>
    <t>majątkowe</t>
  </si>
  <si>
    <t>bieżące</t>
  </si>
  <si>
    <r>
      <t xml:space="preserve">Plan 
(po zmianach)
</t>
    </r>
    <r>
      <rPr>
        <b/>
        <sz val="9"/>
        <rFont val="Arial"/>
        <family val="2"/>
      </rPr>
      <t>R1</t>
    </r>
  </si>
  <si>
    <r>
      <t xml:space="preserve">Zaangażowanie
</t>
    </r>
    <r>
      <rPr>
        <b/>
        <sz val="9"/>
        <rFont val="Arial"/>
        <family val="2"/>
      </rPr>
      <t>R10</t>
    </r>
  </si>
  <si>
    <r>
      <t xml:space="preserve">Wydatki
 wykonane
</t>
    </r>
    <r>
      <rPr>
        <b/>
        <sz val="9"/>
        <rFont val="Arial"/>
        <family val="2"/>
      </rPr>
      <t>R4</t>
    </r>
  </si>
  <si>
    <r>
      <t xml:space="preserve">Wydatki, które nie wygasły 
z upływem roku budżetowego) 
(art.263 ust. 2 ustawy 
o finansach publicznych) 
</t>
    </r>
    <r>
      <rPr>
        <b/>
        <sz val="9"/>
        <rFont val="Arial"/>
        <family val="2"/>
      </rPr>
      <t>R9</t>
    </r>
  </si>
  <si>
    <r>
      <t xml:space="preserve">ogółem
</t>
    </r>
    <r>
      <rPr>
        <b/>
        <sz val="9"/>
        <rFont val="Arial"/>
        <family val="2"/>
      </rPr>
      <t>R11</t>
    </r>
  </si>
  <si>
    <r>
      <t xml:space="preserve">powstałe w latach ubiegłych
</t>
    </r>
    <r>
      <rPr>
        <b/>
        <sz val="9"/>
        <rFont val="Arial"/>
        <family val="2"/>
      </rPr>
      <t>R12U</t>
    </r>
  </si>
  <si>
    <r>
      <t xml:space="preserve">powstałe w roku bieżącym
</t>
    </r>
    <r>
      <rPr>
        <b/>
        <sz val="9"/>
        <rFont val="Arial"/>
        <family val="2"/>
      </rPr>
      <t>R12B</t>
    </r>
  </si>
  <si>
    <r>
      <t xml:space="preserve">Plan 
(po zmianach)
</t>
    </r>
    <r>
      <rPr>
        <b/>
        <sz val="9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</si>
  <si>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9"/>
        <color indexed="8"/>
        <rFont val="Arial"/>
        <family val="2"/>
      </rPr>
      <t>R4</t>
    </r>
  </si>
  <si>
    <r>
      <t xml:space="preserve">Dochody 
otrzymane
</t>
    </r>
    <r>
      <rPr>
        <b/>
        <sz val="9"/>
        <color indexed="8"/>
        <rFont val="Arial"/>
        <family val="2"/>
      </rPr>
      <t>R9</t>
    </r>
  </si>
  <si>
    <t>Dotacje ogółem            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</si>
  <si>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</si>
  <si>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</si>
  <si>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</si>
  <si>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</si>
  <si>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</si>
  <si>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wolne środki, o których mowa w art. 217 ust. 2 pkt 6 ustawy o finansach publicznych</t>
  </si>
  <si>
    <t>spłaty kredytów i pożyczek, wykup papierów wartościowych w tym:</t>
  </si>
  <si>
    <t>wykup papierów wartościowych</t>
  </si>
  <si>
    <t xml:space="preserve"> udzielone pożyczki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</si>
  <si>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</si>
  <si>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</si>
  <si>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</si>
  <si>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wydatki na wynagrodzenia i pochodne od wynagrodzeń </t>
  </si>
  <si>
    <t xml:space="preserve">Informacja z wykonania budżetów związków jednostek samorządu terytorialnego za I Kwartał 2020 rok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</si>
</sst>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name val="Arial CE"/>
      <family val="0"/>
    </font>
    <font>
      <sz val="14"/>
      <name val="Arial"/>
      <family val="2"/>
    </font>
    <font>
      <sz val="9"/>
      <name val="Arial CE"/>
      <family val="0"/>
    </font>
    <font>
      <b/>
      <sz val="9"/>
      <name val="Arial"/>
      <family val="2"/>
    </font>
    <font>
      <sz val="14"/>
      <name val="Arial CE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6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14" fillId="39" borderId="0" applyNumberFormat="0" applyBorder="0" applyAlignment="0" applyProtection="0"/>
    <xf numFmtId="0" fontId="15" fillId="40" borderId="1" applyNumberFormat="0" applyAlignment="0" applyProtection="0"/>
    <xf numFmtId="0" fontId="16" fillId="41" borderId="2" applyNumberFormat="0" applyAlignment="0" applyProtection="0"/>
    <xf numFmtId="0" fontId="41" fillId="42" borderId="3" applyNumberFormat="0" applyAlignment="0" applyProtection="0"/>
    <xf numFmtId="0" fontId="42" fillId="43" borderId="4" applyNumberFormat="0" applyAlignment="0" applyProtection="0"/>
    <xf numFmtId="0" fontId="43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6" borderId="1" applyNumberFormat="0" applyAlignment="0" applyProtection="0"/>
    <xf numFmtId="0" fontId="44" fillId="0" borderId="8" applyNumberFormat="0" applyFill="0" applyAlignment="0" applyProtection="0"/>
    <xf numFmtId="0" fontId="45" fillId="46" borderId="9" applyNumberFormat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47" borderId="0" applyNumberFormat="0" applyBorder="0" applyAlignment="0" applyProtection="0"/>
    <xf numFmtId="0" fontId="39" fillId="0" borderId="0">
      <alignment/>
      <protection/>
    </xf>
    <xf numFmtId="0" fontId="0" fillId="4" borderId="14" applyNumberFormat="0" applyFont="0" applyAlignment="0" applyProtection="0"/>
    <xf numFmtId="0" fontId="50" fillId="43" borderId="3" applyNumberFormat="0" applyAlignment="0" applyProtection="0"/>
    <xf numFmtId="0" fontId="2" fillId="0" borderId="0" applyNumberFormat="0" applyFill="0" applyBorder="0" applyAlignment="0" applyProtection="0"/>
    <xf numFmtId="0" fontId="25" fillId="40" borderId="15" applyNumberFormat="0" applyAlignment="0" applyProtection="0"/>
    <xf numFmtId="9" fontId="0" fillId="0" borderId="0" applyFon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5" fillId="49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/>
    </xf>
    <xf numFmtId="4" fontId="10" fillId="40" borderId="19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/>
    </xf>
    <xf numFmtId="0" fontId="4" fillId="0" borderId="19" xfId="0" applyFont="1" applyBorder="1" applyAlignment="1">
      <alignment horizontal="left" vertical="center" wrapText="1" indent="2"/>
    </xf>
    <xf numFmtId="164" fontId="10" fillId="4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9" fillId="40" borderId="19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left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164" fontId="9" fillId="40" borderId="19" xfId="71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9" fillId="40" borderId="20" xfId="0" applyNumberFormat="1" applyFont="1" applyFill="1" applyBorder="1" applyAlignment="1">
      <alignment horizontal="right" vertical="center"/>
    </xf>
    <xf numFmtId="4" fontId="9" fillId="40" borderId="21" xfId="0" applyNumberFormat="1" applyFont="1" applyFill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6" fillId="40" borderId="21" xfId="0" applyNumberFormat="1" applyFont="1" applyFill="1" applyBorder="1" applyAlignment="1">
      <alignment horizontal="right" vertical="center"/>
    </xf>
    <xf numFmtId="4" fontId="6" fillId="40" borderId="20" xfId="0" applyNumberFormat="1" applyFont="1" applyFill="1" applyBorder="1" applyAlignment="1">
      <alignment horizontal="right" vertical="center"/>
    </xf>
    <xf numFmtId="4" fontId="6" fillId="50" borderId="21" xfId="0" applyNumberFormat="1" applyFont="1" applyFill="1" applyBorder="1" applyAlignment="1">
      <alignment horizontal="right" vertical="center"/>
    </xf>
    <xf numFmtId="4" fontId="6" fillId="50" borderId="20" xfId="0" applyNumberFormat="1" applyFont="1" applyFill="1" applyBorder="1" applyAlignment="1">
      <alignment horizontal="right" vertical="center"/>
    </xf>
    <xf numFmtId="4" fontId="9" fillId="51" borderId="20" xfId="0" applyNumberFormat="1" applyFont="1" applyFill="1" applyBorder="1" applyAlignment="1">
      <alignment horizontal="right" vertical="center"/>
    </xf>
    <xf numFmtId="4" fontId="9" fillId="51" borderId="21" xfId="0" applyNumberFormat="1" applyFont="1" applyFill="1" applyBorder="1" applyAlignment="1">
      <alignment horizontal="right" vertical="center"/>
    </xf>
    <xf numFmtId="0" fontId="56" fillId="51" borderId="19" xfId="89" applyFont="1" applyFill="1" applyBorder="1" applyAlignment="1">
      <alignment horizontal="left" vertical="center" wrapText="1"/>
      <protection/>
    </xf>
    <xf numFmtId="164" fontId="9" fillId="50" borderId="19" xfId="71" applyNumberFormat="1" applyFont="1" applyFill="1" applyBorder="1" applyAlignment="1">
      <alignment horizontal="right" vertical="center"/>
    </xf>
    <xf numFmtId="164" fontId="9" fillId="50" borderId="19" xfId="0" applyNumberFormat="1" applyFont="1" applyFill="1" applyBorder="1" applyAlignment="1">
      <alignment horizontal="right" vertical="center"/>
    </xf>
    <xf numFmtId="164" fontId="9" fillId="51" borderId="19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2"/>
    </xf>
    <xf numFmtId="0" fontId="56" fillId="0" borderId="19" xfId="89" applyFont="1" applyBorder="1" applyAlignment="1">
      <alignment horizontal="left" vertical="center" wrapText="1"/>
      <protection/>
    </xf>
    <xf numFmtId="4" fontId="4" fillId="0" borderId="0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7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0" fillId="40" borderId="1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4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3" fillId="2" borderId="19" xfId="0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0" fillId="51" borderId="19" xfId="0" applyFont="1" applyFill="1" applyBorder="1" applyAlignment="1">
      <alignment horizontal="left" vertical="center" wrapText="1"/>
    </xf>
    <xf numFmtId="4" fontId="10" fillId="51" borderId="19" xfId="0" applyNumberFormat="1" applyFont="1" applyFill="1" applyBorder="1" applyAlignment="1">
      <alignment horizontal="right" vertical="center"/>
    </xf>
    <xf numFmtId="164" fontId="10" fillId="51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1"/>
    </xf>
    <xf numFmtId="4" fontId="4" fillId="0" borderId="19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>
      <alignment horizontal="left" vertical="top" wrapText="1" indent="1"/>
    </xf>
    <xf numFmtId="4" fontId="4" fillId="51" borderId="19" xfId="0" applyNumberFormat="1" applyFont="1" applyFill="1" applyBorder="1" applyAlignment="1">
      <alignment horizontal="right" vertical="center"/>
    </xf>
    <xf numFmtId="164" fontId="4" fillId="51" borderId="19" xfId="0" applyNumberFormat="1" applyFont="1" applyFill="1" applyBorder="1" applyAlignment="1">
      <alignment horizontal="right" vertical="center"/>
    </xf>
    <xf numFmtId="4" fontId="9" fillId="51" borderId="19" xfId="0" applyNumberFormat="1" applyFont="1" applyFill="1" applyBorder="1" applyAlignment="1">
      <alignment horizontal="right" vertical="center"/>
    </xf>
    <xf numFmtId="4" fontId="10" fillId="51" borderId="1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/>
    </xf>
    <xf numFmtId="164" fontId="9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 indent="1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164" fontId="9" fillId="0" borderId="19" xfId="71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0" fontId="56" fillId="0" borderId="19" xfId="89" applyFont="1" applyFill="1" applyBorder="1" applyAlignment="1">
      <alignment horizontal="left" vertical="center" wrapText="1"/>
      <protection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30" fillId="0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4" fontId="10" fillId="51" borderId="19" xfId="0" applyNumberFormat="1" applyFont="1" applyFill="1" applyBorder="1" applyAlignment="1">
      <alignment horizontal="right" vertical="center" wrapText="1"/>
    </xf>
    <xf numFmtId="4" fontId="9" fillId="51" borderId="19" xfId="0" applyNumberFormat="1" applyFont="1" applyFill="1" applyBorder="1" applyAlignment="1">
      <alignment horizontal="right" vertical="center"/>
    </xf>
    <xf numFmtId="4" fontId="10" fillId="29" borderId="19" xfId="0" applyNumberFormat="1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4" fontId="6" fillId="40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93"/>
  <sheetViews>
    <sheetView tabSelected="1" workbookViewId="0" topLeftCell="B1">
      <selection activeCell="B6" sqref="B6"/>
    </sheetView>
  </sheetViews>
  <sheetFormatPr defaultColWidth="9.00390625" defaultRowHeight="12.75"/>
  <cols>
    <col min="1" max="1" width="5.75390625" style="1" hidden="1" customWidth="1"/>
    <col min="2" max="2" width="26.00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8.00390625" style="1" customWidth="1"/>
    <col min="12" max="12" width="8.25390625" style="1" customWidth="1"/>
    <col min="13" max="13" width="8.125" style="1" customWidth="1"/>
    <col min="14" max="16384" width="9.125" style="1" customWidth="1"/>
  </cols>
  <sheetData>
    <row r="1" spans="2:12" ht="13.5" customHeight="1">
      <c r="B1" s="109" t="s">
        <v>83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ht="13.5" customHeight="1"/>
    <row r="3" spans="2:8" ht="66.75" customHeight="1">
      <c r="B3" s="97" t="s">
        <v>0</v>
      </c>
      <c r="C3" s="49" t="s">
        <v>66</v>
      </c>
      <c r="D3" s="49" t="s">
        <v>67</v>
      </c>
      <c r="E3" s="49" t="s">
        <v>68</v>
      </c>
      <c r="F3" s="51" t="s">
        <v>2</v>
      </c>
      <c r="G3" s="49" t="s">
        <v>18</v>
      </c>
      <c r="H3" s="49" t="s">
        <v>3</v>
      </c>
    </row>
    <row r="4" spans="2:8" ht="12.75">
      <c r="B4" s="97"/>
      <c r="C4" s="96" t="s">
        <v>39</v>
      </c>
      <c r="D4" s="96"/>
      <c r="E4" s="96"/>
      <c r="F4" s="96" t="s">
        <v>4</v>
      </c>
      <c r="G4" s="96"/>
      <c r="H4" s="96"/>
    </row>
    <row r="5" spans="2:8" ht="12.75">
      <c r="B5" s="51">
        <v>1</v>
      </c>
      <c r="C5" s="50">
        <v>2</v>
      </c>
      <c r="D5" s="50">
        <v>3</v>
      </c>
      <c r="E5" s="50">
        <v>4</v>
      </c>
      <c r="F5" s="50">
        <v>5</v>
      </c>
      <c r="G5" s="50">
        <v>6</v>
      </c>
      <c r="H5" s="50">
        <v>7</v>
      </c>
    </row>
    <row r="6" spans="2:8" ht="18.75" customHeight="1">
      <c r="B6" s="64" t="s">
        <v>5</v>
      </c>
      <c r="C6" s="65">
        <f>2982841987.7</f>
        <v>2982841987.7</v>
      </c>
      <c r="D6" s="65">
        <f>661220494.35</f>
        <v>661220494.35</v>
      </c>
      <c r="E6" s="65">
        <f>646244203.96</f>
        <v>646244203.96</v>
      </c>
      <c r="F6" s="66">
        <f aca="true" t="shared" si="0" ref="F6:F31">IF($D$6=0,"",100*$D6/$D$6)</f>
        <v>100</v>
      </c>
      <c r="G6" s="66">
        <f>IF(C6=0,"",100*D6/C6)</f>
        <v>22.16746636518456</v>
      </c>
      <c r="H6" s="66"/>
    </row>
    <row r="7" spans="2:8" ht="22.5">
      <c r="B7" s="52" t="s">
        <v>29</v>
      </c>
      <c r="C7" s="15">
        <f>C6-C10</f>
        <v>2666610941.8799996</v>
      </c>
      <c r="D7" s="15">
        <f>D6-D10</f>
        <v>635104765.73</v>
      </c>
      <c r="E7" s="15">
        <f>E6-E10</f>
        <v>620404361.45</v>
      </c>
      <c r="F7" s="19">
        <f t="shared" si="0"/>
        <v>96.05037520113883</v>
      </c>
      <c r="G7" s="19">
        <f aca="true" t="shared" si="1" ref="G7:G31">IF(C7=0,"",100*D7/C7)</f>
        <v>23.816926412303772</v>
      </c>
      <c r="H7" s="19">
        <f>IF($D$7=0,"",100*$D7/$D$7)</f>
        <v>100</v>
      </c>
    </row>
    <row r="8" spans="2:8" ht="12.75">
      <c r="B8" s="67" t="s">
        <v>19</v>
      </c>
      <c r="C8" s="68">
        <f>61496305.57</f>
        <v>61496305.57</v>
      </c>
      <c r="D8" s="69">
        <f>15402530.47</f>
        <v>15402530.47</v>
      </c>
      <c r="E8" s="68">
        <f>15402230.47</f>
        <v>15402230.47</v>
      </c>
      <c r="F8" s="20">
        <f t="shared" si="0"/>
        <v>2.329409115659846</v>
      </c>
      <c r="G8" s="20">
        <f t="shared" si="1"/>
        <v>25.046269572190173</v>
      </c>
      <c r="H8" s="20">
        <f>IF($D$7=0,"",100*$D8/$D$7)</f>
        <v>2.4251952277977438</v>
      </c>
    </row>
    <row r="9" spans="2:8" ht="12.75">
      <c r="B9" s="67" t="s">
        <v>20</v>
      </c>
      <c r="C9" s="68">
        <f>C7-C8</f>
        <v>2605114636.3099995</v>
      </c>
      <c r="D9" s="68">
        <f>D7-D8</f>
        <v>619702235.26</v>
      </c>
      <c r="E9" s="68">
        <f>E7-E8</f>
        <v>605002130.98</v>
      </c>
      <c r="F9" s="20">
        <f t="shared" si="0"/>
        <v>93.72096608547898</v>
      </c>
      <c r="G9" s="20">
        <f t="shared" si="1"/>
        <v>23.787906552080713</v>
      </c>
      <c r="H9" s="20">
        <f>IF($D$7=0,"",100*$D9/$D$7)</f>
        <v>97.57480477220226</v>
      </c>
    </row>
    <row r="10" spans="2:8" ht="22.5">
      <c r="B10" s="64" t="s">
        <v>69</v>
      </c>
      <c r="C10" s="65">
        <f>C11+C24+C26</f>
        <v>316231045.82</v>
      </c>
      <c r="D10" s="65">
        <f>D11+D24+D26</f>
        <v>26115728.62</v>
      </c>
      <c r="E10" s="65">
        <f>E11+E24+E26</f>
        <v>25839842.51</v>
      </c>
      <c r="F10" s="66">
        <f t="shared" si="0"/>
        <v>3.9496247988611666</v>
      </c>
      <c r="G10" s="66">
        <f t="shared" si="1"/>
        <v>8.258432865843659</v>
      </c>
      <c r="H10" s="70"/>
    </row>
    <row r="11" spans="2:8" ht="22.5">
      <c r="B11" s="64" t="s">
        <v>30</v>
      </c>
      <c r="C11" s="65">
        <f>C12+C14+C16+C18+C20+C22</f>
        <v>20852358.35</v>
      </c>
      <c r="D11" s="65">
        <f>D12+D14+D16+D18+D20+D22</f>
        <v>4462748.03</v>
      </c>
      <c r="E11" s="65">
        <f>E12+E14+E16+E18+E20+E22</f>
        <v>4189160.3200000003</v>
      </c>
      <c r="F11" s="66">
        <f t="shared" si="0"/>
        <v>0.6749258482054489</v>
      </c>
      <c r="G11" s="66">
        <f t="shared" si="1"/>
        <v>21.40164654325538</v>
      </c>
      <c r="H11" s="17"/>
    </row>
    <row r="12" spans="2:8" ht="22.5">
      <c r="B12" s="67" t="s">
        <v>9</v>
      </c>
      <c r="C12" s="68">
        <f>0</f>
        <v>0</v>
      </c>
      <c r="D12" s="68">
        <f>0</f>
        <v>0</v>
      </c>
      <c r="E12" s="68">
        <f>0</f>
        <v>0</v>
      </c>
      <c r="F12" s="20">
        <f t="shared" si="0"/>
        <v>0</v>
      </c>
      <c r="G12" s="20">
        <f t="shared" si="1"/>
      </c>
      <c r="H12" s="17"/>
    </row>
    <row r="13" spans="2:8" ht="12.75">
      <c r="B13" s="71" t="s">
        <v>6</v>
      </c>
      <c r="C13" s="68">
        <f>0</f>
        <v>0</v>
      </c>
      <c r="D13" s="68">
        <f>0</f>
        <v>0</v>
      </c>
      <c r="E13" s="68">
        <f>0</f>
        <v>0</v>
      </c>
      <c r="F13" s="20">
        <f t="shared" si="0"/>
        <v>0</v>
      </c>
      <c r="G13" s="20">
        <f t="shared" si="1"/>
      </c>
      <c r="H13" s="17"/>
    </row>
    <row r="14" spans="2:8" ht="12.75">
      <c r="B14" s="67" t="s">
        <v>7</v>
      </c>
      <c r="C14" s="68">
        <f>0</f>
        <v>0</v>
      </c>
      <c r="D14" s="68">
        <f>0</f>
        <v>0</v>
      </c>
      <c r="E14" s="68">
        <f>0</f>
        <v>0</v>
      </c>
      <c r="F14" s="20">
        <f t="shared" si="0"/>
        <v>0</v>
      </c>
      <c r="G14" s="20">
        <f t="shared" si="1"/>
      </c>
      <c r="H14" s="17"/>
    </row>
    <row r="15" spans="2:8" ht="12.75">
      <c r="B15" s="71" t="s">
        <v>6</v>
      </c>
      <c r="C15" s="68">
        <f>0</f>
        <v>0</v>
      </c>
      <c r="D15" s="68">
        <f>0</f>
        <v>0</v>
      </c>
      <c r="E15" s="68">
        <f>0</f>
        <v>0</v>
      </c>
      <c r="F15" s="20">
        <f t="shared" si="0"/>
        <v>0</v>
      </c>
      <c r="G15" s="20">
        <f t="shared" si="1"/>
      </c>
      <c r="H15" s="17"/>
    </row>
    <row r="16" spans="2:8" ht="33.75">
      <c r="B16" s="67" t="s">
        <v>10</v>
      </c>
      <c r="C16" s="68">
        <f>0</f>
        <v>0</v>
      </c>
      <c r="D16" s="68">
        <f>0</f>
        <v>0</v>
      </c>
      <c r="E16" s="68">
        <f>0</f>
        <v>0</v>
      </c>
      <c r="F16" s="20">
        <f t="shared" si="0"/>
        <v>0</v>
      </c>
      <c r="G16" s="20">
        <f t="shared" si="1"/>
      </c>
      <c r="H16" s="17"/>
    </row>
    <row r="17" spans="2:8" ht="12.75">
      <c r="B17" s="71" t="s">
        <v>6</v>
      </c>
      <c r="C17" s="68">
        <f>0</f>
        <v>0</v>
      </c>
      <c r="D17" s="68">
        <f>0</f>
        <v>0</v>
      </c>
      <c r="E17" s="68">
        <f>0</f>
        <v>0</v>
      </c>
      <c r="F17" s="20">
        <f t="shared" si="0"/>
        <v>0</v>
      </c>
      <c r="G17" s="20">
        <f t="shared" si="1"/>
      </c>
      <c r="H17" s="17"/>
    </row>
    <row r="18" spans="2:8" ht="22.5">
      <c r="B18" s="72" t="s">
        <v>11</v>
      </c>
      <c r="C18" s="68">
        <f>17346136.35</f>
        <v>17346136.35</v>
      </c>
      <c r="D18" s="68">
        <f>4418463.29</f>
        <v>4418463.29</v>
      </c>
      <c r="E18" s="68">
        <f>4144875.58</f>
        <v>4144875.58</v>
      </c>
      <c r="F18" s="20">
        <f t="shared" si="0"/>
        <v>0.668228424217777</v>
      </c>
      <c r="G18" s="20">
        <f t="shared" si="1"/>
        <v>25.47231960389842</v>
      </c>
      <c r="H18" s="17"/>
    </row>
    <row r="19" spans="2:8" ht="13.5" customHeight="1">
      <c r="B19" s="71" t="s">
        <v>6</v>
      </c>
      <c r="C19" s="68">
        <f>121157</f>
        <v>121157</v>
      </c>
      <c r="D19" s="68">
        <f>0</f>
        <v>0</v>
      </c>
      <c r="E19" s="68">
        <f>0</f>
        <v>0</v>
      </c>
      <c r="F19" s="20">
        <f t="shared" si="0"/>
        <v>0</v>
      </c>
      <c r="G19" s="20">
        <f t="shared" si="1"/>
        <v>0</v>
      </c>
      <c r="H19" s="17"/>
    </row>
    <row r="20" spans="2:8" ht="34.5" customHeight="1">
      <c r="B20" s="72" t="s">
        <v>40</v>
      </c>
      <c r="C20" s="68">
        <f>2268375</f>
        <v>2268375</v>
      </c>
      <c r="D20" s="68">
        <f>44284.74</f>
        <v>44284.74</v>
      </c>
      <c r="E20" s="68">
        <f>44284.74</f>
        <v>44284.74</v>
      </c>
      <c r="F20" s="20">
        <f t="shared" si="0"/>
        <v>0.006697423987671957</v>
      </c>
      <c r="G20" s="20">
        <f t="shared" si="1"/>
        <v>1.952267151595305</v>
      </c>
      <c r="H20" s="17"/>
    </row>
    <row r="21" spans="2:8" ht="12.75">
      <c r="B21" s="71" t="s">
        <v>6</v>
      </c>
      <c r="C21" s="68">
        <f>1984000</f>
        <v>1984000</v>
      </c>
      <c r="D21" s="68">
        <f>0</f>
        <v>0</v>
      </c>
      <c r="E21" s="68">
        <f>0</f>
        <v>0</v>
      </c>
      <c r="F21" s="20">
        <f t="shared" si="0"/>
        <v>0</v>
      </c>
      <c r="G21" s="20">
        <f t="shared" si="1"/>
        <v>0</v>
      </c>
      <c r="H21" s="17"/>
    </row>
    <row r="22" spans="2:8" ht="12.75">
      <c r="B22" s="67" t="s">
        <v>8</v>
      </c>
      <c r="C22" s="68">
        <f>1237847</f>
        <v>1237847</v>
      </c>
      <c r="D22" s="68">
        <f>0</f>
        <v>0</v>
      </c>
      <c r="E22" s="68">
        <f>0</f>
        <v>0</v>
      </c>
      <c r="F22" s="20">
        <f t="shared" si="0"/>
        <v>0</v>
      </c>
      <c r="G22" s="20">
        <f t="shared" si="1"/>
        <v>0</v>
      </c>
      <c r="H22" s="17"/>
    </row>
    <row r="23" spans="2:8" ht="13.5" customHeight="1">
      <c r="B23" s="71" t="s">
        <v>6</v>
      </c>
      <c r="C23" s="68">
        <f>0</f>
        <v>0</v>
      </c>
      <c r="D23" s="68">
        <f>0</f>
        <v>0</v>
      </c>
      <c r="E23" s="68">
        <f>0</f>
        <v>0</v>
      </c>
      <c r="F23" s="20">
        <f t="shared" si="0"/>
        <v>0</v>
      </c>
      <c r="G23" s="20">
        <f t="shared" si="1"/>
      </c>
      <c r="H23" s="17"/>
    </row>
    <row r="24" spans="1:13" s="5" customFormat="1" ht="13.5" customHeight="1">
      <c r="A24" s="2"/>
      <c r="B24" s="64" t="s">
        <v>38</v>
      </c>
      <c r="C24" s="15">
        <f>10975557.33</f>
        <v>10975557.33</v>
      </c>
      <c r="D24" s="15">
        <f>174544.4</f>
        <v>174544.4</v>
      </c>
      <c r="E24" s="15">
        <f>172246</f>
        <v>172246</v>
      </c>
      <c r="F24" s="19">
        <f t="shared" si="0"/>
        <v>0.026397306419182073</v>
      </c>
      <c r="G24" s="19">
        <f t="shared" si="1"/>
        <v>1.590301018454067</v>
      </c>
      <c r="H24" s="53"/>
      <c r="I24" s="12"/>
      <c r="J24" s="12"/>
      <c r="K24" s="9"/>
      <c r="L24" s="9"/>
      <c r="M24" s="3"/>
    </row>
    <row r="25" spans="1:13" s="5" customFormat="1" ht="12.75">
      <c r="A25" s="2"/>
      <c r="B25" s="18" t="s">
        <v>37</v>
      </c>
      <c r="C25" s="14">
        <f>10335713</f>
        <v>10335713</v>
      </c>
      <c r="D25" s="14">
        <f>2298.4</f>
        <v>2298.4</v>
      </c>
      <c r="E25" s="14">
        <f>0</f>
        <v>0</v>
      </c>
      <c r="F25" s="20">
        <f t="shared" si="0"/>
        <v>0.00034759963123336</v>
      </c>
      <c r="G25" s="20">
        <f t="shared" si="1"/>
        <v>0.02223745957342275</v>
      </c>
      <c r="H25" s="53"/>
      <c r="I25" s="12"/>
      <c r="J25" s="12"/>
      <c r="K25" s="9"/>
      <c r="L25" s="9"/>
      <c r="M25" s="3"/>
    </row>
    <row r="26" spans="1:13" s="5" customFormat="1" ht="13.5" customHeight="1">
      <c r="A26" s="2"/>
      <c r="B26" s="64" t="s">
        <v>55</v>
      </c>
      <c r="C26" s="73">
        <f>284403130.14</f>
        <v>284403130.14</v>
      </c>
      <c r="D26" s="73">
        <f>21478436.19</f>
        <v>21478436.19</v>
      </c>
      <c r="E26" s="73">
        <f>21478436.19</f>
        <v>21478436.19</v>
      </c>
      <c r="F26" s="74">
        <f t="shared" si="0"/>
        <v>3.248301644236536</v>
      </c>
      <c r="G26" s="74">
        <f t="shared" si="1"/>
        <v>7.5521096337536955</v>
      </c>
      <c r="H26" s="53"/>
      <c r="I26" s="12"/>
      <c r="J26" s="12"/>
      <c r="K26" s="9"/>
      <c r="L26" s="9"/>
      <c r="M26" s="3"/>
    </row>
    <row r="27" spans="1:13" s="5" customFormat="1" ht="13.5" customHeight="1">
      <c r="A27" s="2"/>
      <c r="B27" s="18" t="s">
        <v>56</v>
      </c>
      <c r="C27" s="14">
        <f>258755511.8</f>
        <v>258755511.8</v>
      </c>
      <c r="D27" s="14">
        <f>20658869.25</f>
        <v>20658869.25</v>
      </c>
      <c r="E27" s="14">
        <f>20658869.25</f>
        <v>20658869.25</v>
      </c>
      <c r="F27" s="20">
        <f t="shared" si="0"/>
        <v>3.1243540432466936</v>
      </c>
      <c r="G27" s="20">
        <f t="shared" si="1"/>
        <v>7.983933987063382</v>
      </c>
      <c r="H27" s="53"/>
      <c r="I27" s="12"/>
      <c r="J27" s="12"/>
      <c r="K27" s="9"/>
      <c r="L27" s="9"/>
      <c r="M27" s="3"/>
    </row>
    <row r="28" spans="1:13" s="5" customFormat="1" ht="8.25" customHeight="1">
      <c r="A28" s="2"/>
      <c r="B28" s="43"/>
      <c r="C28" s="45"/>
      <c r="D28" s="45"/>
      <c r="E28" s="45"/>
      <c r="F28" s="45">
        <f t="shared" si="0"/>
        <v>0</v>
      </c>
      <c r="G28" s="45">
        <f t="shared" si="1"/>
      </c>
      <c r="H28" s="53"/>
      <c r="I28" s="12"/>
      <c r="J28" s="12"/>
      <c r="K28" s="9"/>
      <c r="L28" s="9"/>
      <c r="M28" s="3"/>
    </row>
    <row r="29" spans="1:13" s="5" customFormat="1" ht="13.5" customHeight="1">
      <c r="A29" s="2"/>
      <c r="B29" s="64" t="s">
        <v>5</v>
      </c>
      <c r="C29" s="73">
        <f>+C6</f>
        <v>2982841987.7</v>
      </c>
      <c r="D29" s="73">
        <f>+D6</f>
        <v>661220494.35</v>
      </c>
      <c r="E29" s="73">
        <f>+E6</f>
        <v>646244203.96</v>
      </c>
      <c r="F29" s="74">
        <f t="shared" si="0"/>
        <v>100</v>
      </c>
      <c r="G29" s="74">
        <f t="shared" si="1"/>
        <v>22.16746636518456</v>
      </c>
      <c r="H29" s="53"/>
      <c r="I29" s="12"/>
      <c r="J29" s="12"/>
      <c r="K29" s="9"/>
      <c r="L29" s="9"/>
      <c r="M29" s="3"/>
    </row>
    <row r="30" spans="1:13" s="5" customFormat="1" ht="13.5" customHeight="1">
      <c r="A30" s="2"/>
      <c r="B30" s="46" t="s">
        <v>57</v>
      </c>
      <c r="C30" s="14">
        <f>370617146.06</f>
        <v>370617146.06</v>
      </c>
      <c r="D30" s="14">
        <f>39759923.6</f>
        <v>39759923.6</v>
      </c>
      <c r="E30" s="14">
        <f>38786431.51</f>
        <v>38786431.51</v>
      </c>
      <c r="F30" s="20">
        <f t="shared" si="0"/>
        <v>6.013111199628684</v>
      </c>
      <c r="G30" s="20">
        <f t="shared" si="1"/>
        <v>10.728031345199334</v>
      </c>
      <c r="H30" s="53"/>
      <c r="I30" s="12"/>
      <c r="J30" s="12"/>
      <c r="K30" s="9"/>
      <c r="L30" s="9"/>
      <c r="M30" s="3"/>
    </row>
    <row r="31" spans="1:13" s="5" customFormat="1" ht="13.5" customHeight="1">
      <c r="A31" s="2"/>
      <c r="B31" s="46" t="s">
        <v>58</v>
      </c>
      <c r="C31" s="14">
        <f>C29-C30</f>
        <v>2612224841.64</v>
      </c>
      <c r="D31" s="14">
        <f>D29-D30</f>
        <v>621460570.75</v>
      </c>
      <c r="E31" s="14">
        <f>E29-E30</f>
        <v>607457772.45</v>
      </c>
      <c r="F31" s="20">
        <f t="shared" si="0"/>
        <v>93.98688880037132</v>
      </c>
      <c r="G31" s="20">
        <f t="shared" si="1"/>
        <v>23.790470132725495</v>
      </c>
      <c r="H31" s="53"/>
      <c r="I31" s="12"/>
      <c r="J31" s="12"/>
      <c r="K31" s="9"/>
      <c r="L31" s="9"/>
      <c r="M31" s="3"/>
    </row>
    <row r="32" spans="1:13" s="5" customFormat="1" ht="6.75" customHeight="1">
      <c r="A32" s="2"/>
      <c r="B32" s="43"/>
      <c r="C32" s="7"/>
      <c r="D32" s="8"/>
      <c r="E32" s="8"/>
      <c r="F32" s="12"/>
      <c r="G32" s="12"/>
      <c r="H32" s="12"/>
      <c r="I32" s="12"/>
      <c r="J32" s="12"/>
      <c r="K32" s="9"/>
      <c r="L32" s="9"/>
      <c r="M32" s="3"/>
    </row>
    <row r="33" spans="2:13" ht="22.5" customHeight="1">
      <c r="B33" s="109" t="s">
        <v>83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63"/>
    </row>
    <row r="34" spans="2:13" s="5" customFormat="1" ht="6" customHeight="1" hidden="1">
      <c r="B34" s="6"/>
      <c r="C34" s="7"/>
      <c r="D34" s="8"/>
      <c r="E34" s="8"/>
      <c r="F34" s="4"/>
      <c r="G34" s="4"/>
      <c r="H34" s="4"/>
      <c r="I34" s="4"/>
      <c r="J34" s="4"/>
      <c r="K34" s="9"/>
      <c r="L34" s="9"/>
      <c r="M34" s="3"/>
    </row>
    <row r="35" spans="2:27" ht="29.25" customHeight="1">
      <c r="B35" s="97" t="s">
        <v>0</v>
      </c>
      <c r="C35" s="91" t="s">
        <v>59</v>
      </c>
      <c r="D35" s="91" t="s">
        <v>60</v>
      </c>
      <c r="E35" s="91" t="s">
        <v>61</v>
      </c>
      <c r="F35" s="91" t="s">
        <v>12</v>
      </c>
      <c r="G35" s="91"/>
      <c r="H35" s="91"/>
      <c r="I35" s="91" t="s">
        <v>62</v>
      </c>
      <c r="J35" s="91"/>
      <c r="K35" s="91" t="s">
        <v>2</v>
      </c>
      <c r="L35" s="117" t="s">
        <v>25</v>
      </c>
      <c r="M35" s="47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 ht="18" customHeight="1">
      <c r="B36" s="97"/>
      <c r="C36" s="91"/>
      <c r="D36" s="95"/>
      <c r="E36" s="91"/>
      <c r="F36" s="98" t="s">
        <v>63</v>
      </c>
      <c r="G36" s="99" t="s">
        <v>24</v>
      </c>
      <c r="H36" s="95"/>
      <c r="I36" s="91"/>
      <c r="J36" s="91"/>
      <c r="K36" s="91"/>
      <c r="L36" s="117"/>
      <c r="M36" s="57"/>
      <c r="N36" s="11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 ht="36" customHeight="1">
      <c r="B37" s="97"/>
      <c r="C37" s="91"/>
      <c r="D37" s="95"/>
      <c r="E37" s="91"/>
      <c r="F37" s="95"/>
      <c r="G37" s="48" t="s">
        <v>64</v>
      </c>
      <c r="H37" s="48" t="s">
        <v>65</v>
      </c>
      <c r="I37" s="91"/>
      <c r="J37" s="91"/>
      <c r="K37" s="91"/>
      <c r="L37" s="117"/>
      <c r="M37" s="57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 ht="13.5" customHeight="1">
      <c r="B38" s="97"/>
      <c r="C38" s="96" t="s">
        <v>39</v>
      </c>
      <c r="D38" s="96"/>
      <c r="E38" s="96"/>
      <c r="F38" s="96"/>
      <c r="G38" s="96"/>
      <c r="H38" s="96"/>
      <c r="I38" s="96"/>
      <c r="J38" s="96"/>
      <c r="K38" s="96" t="s">
        <v>4</v>
      </c>
      <c r="L38" s="96"/>
      <c r="M38" s="47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2:27" ht="11.25" customHeight="1">
      <c r="B39" s="51">
        <v>1</v>
      </c>
      <c r="C39" s="50">
        <v>2</v>
      </c>
      <c r="D39" s="50">
        <v>3</v>
      </c>
      <c r="E39" s="50">
        <v>4</v>
      </c>
      <c r="F39" s="51">
        <v>5</v>
      </c>
      <c r="G39" s="51">
        <v>6</v>
      </c>
      <c r="H39" s="50">
        <v>7</v>
      </c>
      <c r="I39" s="95">
        <v>8</v>
      </c>
      <c r="J39" s="95"/>
      <c r="K39" s="51">
        <v>9</v>
      </c>
      <c r="L39" s="50">
        <v>10</v>
      </c>
      <c r="M39" s="47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13" ht="25.5" customHeight="1">
      <c r="B40" s="64" t="s">
        <v>31</v>
      </c>
      <c r="C40" s="75">
        <f>3158862851.73</f>
        <v>3158862851.73</v>
      </c>
      <c r="D40" s="75">
        <f>1319647146.89</f>
        <v>1319647146.89</v>
      </c>
      <c r="E40" s="75">
        <f>569972021.31</f>
        <v>569972021.31</v>
      </c>
      <c r="F40" s="75">
        <f>183371052.59</f>
        <v>183371052.59</v>
      </c>
      <c r="G40" s="75">
        <f>0</f>
        <v>0</v>
      </c>
      <c r="H40" s="75">
        <f>1788911.96</f>
        <v>1788911.96</v>
      </c>
      <c r="I40" s="93">
        <f>0</f>
        <v>0</v>
      </c>
      <c r="J40" s="93"/>
      <c r="K40" s="42">
        <f aca="true" t="shared" si="2" ref="K40:K49">IF($E$40=0,"",100*$E40/$E$40)</f>
        <v>100</v>
      </c>
      <c r="L40" s="42">
        <f aca="true" t="shared" si="3" ref="L40:L49">IF(C40=0,"",100*E40/C40)</f>
        <v>18.043582392247448</v>
      </c>
      <c r="M40" s="22"/>
    </row>
    <row r="41" spans="2:13" ht="12.75">
      <c r="B41" s="52" t="s">
        <v>14</v>
      </c>
      <c r="C41" s="16">
        <f>698468656.86</f>
        <v>698468656.86</v>
      </c>
      <c r="D41" s="16">
        <f>193395563.23</f>
        <v>193395563.23</v>
      </c>
      <c r="E41" s="16">
        <f>43884480.06</f>
        <v>43884480.06</v>
      </c>
      <c r="F41" s="16">
        <f>13676016.49</f>
        <v>13676016.49</v>
      </c>
      <c r="G41" s="16">
        <f>0</f>
        <v>0</v>
      </c>
      <c r="H41" s="16">
        <f>0</f>
        <v>0</v>
      </c>
      <c r="I41" s="92">
        <f>0</f>
        <v>0</v>
      </c>
      <c r="J41" s="94"/>
      <c r="K41" s="21">
        <f t="shared" si="2"/>
        <v>7.699409518231744</v>
      </c>
      <c r="L41" s="21">
        <f t="shared" si="3"/>
        <v>6.282956239909866</v>
      </c>
      <c r="M41" s="22"/>
    </row>
    <row r="42" spans="2:13" ht="12.75">
      <c r="B42" s="67" t="s">
        <v>13</v>
      </c>
      <c r="C42" s="68">
        <f>675073956.86</f>
        <v>675073956.86</v>
      </c>
      <c r="D42" s="68">
        <f>192915563.23</f>
        <v>192915563.23</v>
      </c>
      <c r="E42" s="68">
        <f>43404480.06</f>
        <v>43404480.06</v>
      </c>
      <c r="F42" s="68">
        <f>13676016.49</f>
        <v>13676016.49</v>
      </c>
      <c r="G42" s="68">
        <f>0</f>
        <v>0</v>
      </c>
      <c r="H42" s="68">
        <f>0</f>
        <v>0</v>
      </c>
      <c r="I42" s="87">
        <f>0</f>
        <v>0</v>
      </c>
      <c r="J42" s="87"/>
      <c r="K42" s="77">
        <f t="shared" si="2"/>
        <v>7.615194858203909</v>
      </c>
      <c r="L42" s="77">
        <f t="shared" si="3"/>
        <v>6.42958887969684</v>
      </c>
      <c r="M42" s="22"/>
    </row>
    <row r="43" spans="2:13" ht="22.5">
      <c r="B43" s="64" t="s">
        <v>32</v>
      </c>
      <c r="C43" s="76">
        <f aca="true" t="shared" si="4" ref="C43:I43">C40-C41</f>
        <v>2460394194.87</v>
      </c>
      <c r="D43" s="76">
        <f t="shared" si="4"/>
        <v>1126251583.66</v>
      </c>
      <c r="E43" s="76">
        <f t="shared" si="4"/>
        <v>526087541.24999994</v>
      </c>
      <c r="F43" s="76">
        <f t="shared" si="4"/>
        <v>169695036.1</v>
      </c>
      <c r="G43" s="76">
        <f t="shared" si="4"/>
        <v>0</v>
      </c>
      <c r="H43" s="76">
        <f t="shared" si="4"/>
        <v>1788911.96</v>
      </c>
      <c r="I43" s="92">
        <f t="shared" si="4"/>
        <v>0</v>
      </c>
      <c r="J43" s="92"/>
      <c r="K43" s="42">
        <f t="shared" si="2"/>
        <v>92.30059048176825</v>
      </c>
      <c r="L43" s="42">
        <f t="shared" si="3"/>
        <v>21.382246078571846</v>
      </c>
      <c r="M43" s="22"/>
    </row>
    <row r="44" spans="2:13" ht="22.5">
      <c r="B44" s="67" t="s">
        <v>82</v>
      </c>
      <c r="C44" s="68">
        <f>196736392.84</f>
        <v>196736392.84</v>
      </c>
      <c r="D44" s="68">
        <f>143326229.69</f>
        <v>143326229.69</v>
      </c>
      <c r="E44" s="68">
        <f>49192861.67</f>
        <v>49192861.67</v>
      </c>
      <c r="F44" s="68">
        <f>6838110.9</f>
        <v>6838110.9</v>
      </c>
      <c r="G44" s="68">
        <f>0</f>
        <v>0</v>
      </c>
      <c r="H44" s="68">
        <f>0</f>
        <v>0</v>
      </c>
      <c r="I44" s="87">
        <f>0</f>
        <v>0</v>
      </c>
      <c r="J44" s="87"/>
      <c r="K44" s="77">
        <f t="shared" si="2"/>
        <v>8.63075025278209</v>
      </c>
      <c r="L44" s="77">
        <f t="shared" si="3"/>
        <v>25.00445441734165</v>
      </c>
      <c r="M44" s="22"/>
    </row>
    <row r="45" spans="2:13" ht="12.75">
      <c r="B45" s="67" t="s">
        <v>28</v>
      </c>
      <c r="C45" s="79">
        <f>14887591.97</f>
        <v>14887591.97</v>
      </c>
      <c r="D45" s="79">
        <f>7666615.57</f>
        <v>7666615.57</v>
      </c>
      <c r="E45" s="79">
        <f>2135372.86</f>
        <v>2135372.86</v>
      </c>
      <c r="F45" s="79">
        <f>335714.71</f>
        <v>335714.71</v>
      </c>
      <c r="G45" s="79">
        <f>0</f>
        <v>0</v>
      </c>
      <c r="H45" s="79">
        <f>0</f>
        <v>0</v>
      </c>
      <c r="I45" s="88">
        <f>0</f>
        <v>0</v>
      </c>
      <c r="J45" s="88"/>
      <c r="K45" s="77">
        <f t="shared" si="2"/>
        <v>0.37464520716159855</v>
      </c>
      <c r="L45" s="77">
        <f t="shared" si="3"/>
        <v>14.343305917457918</v>
      </c>
      <c r="M45" s="22"/>
    </row>
    <row r="46" spans="2:13" ht="12.75">
      <c r="B46" s="67" t="s">
        <v>27</v>
      </c>
      <c r="C46" s="68">
        <f>10220094.96</f>
        <v>10220094.96</v>
      </c>
      <c r="D46" s="68">
        <f>4268009.6</f>
        <v>4268009.6</v>
      </c>
      <c r="E46" s="68">
        <f>2036492.66</f>
        <v>2036492.66</v>
      </c>
      <c r="F46" s="68">
        <f>92734.74</f>
        <v>92734.74</v>
      </c>
      <c r="G46" s="68">
        <f>0</f>
        <v>0</v>
      </c>
      <c r="H46" s="68">
        <f>0</f>
        <v>0</v>
      </c>
      <c r="I46" s="87">
        <f>0</f>
        <v>0</v>
      </c>
      <c r="J46" s="87"/>
      <c r="K46" s="77">
        <f t="shared" si="2"/>
        <v>0.3572969521064227</v>
      </c>
      <c r="L46" s="77">
        <f t="shared" si="3"/>
        <v>19.926357514001023</v>
      </c>
      <c r="M46" s="22"/>
    </row>
    <row r="47" spans="2:13" ht="22.5" customHeight="1">
      <c r="B47" s="67" t="s">
        <v>35</v>
      </c>
      <c r="C47" s="79">
        <f>0</f>
        <v>0</v>
      </c>
      <c r="D47" s="79">
        <f>0</f>
        <v>0</v>
      </c>
      <c r="E47" s="79">
        <f>0</f>
        <v>0</v>
      </c>
      <c r="F47" s="79">
        <f>0</f>
        <v>0</v>
      </c>
      <c r="G47" s="79">
        <f>0</f>
        <v>0</v>
      </c>
      <c r="H47" s="79">
        <f>0</f>
        <v>0</v>
      </c>
      <c r="I47" s="88">
        <f>0</f>
        <v>0</v>
      </c>
      <c r="J47" s="88"/>
      <c r="K47" s="77">
        <f t="shared" si="2"/>
        <v>0</v>
      </c>
      <c r="L47" s="77">
        <f t="shared" si="3"/>
      </c>
      <c r="M47" s="22"/>
    </row>
    <row r="48" spans="2:13" ht="22.5" customHeight="1">
      <c r="B48" s="67" t="s">
        <v>36</v>
      </c>
      <c r="C48" s="79">
        <f>2028892</f>
        <v>2028892</v>
      </c>
      <c r="D48" s="79">
        <f>964102.79</f>
        <v>964102.79</v>
      </c>
      <c r="E48" s="79">
        <f>233657.31</f>
        <v>233657.31</v>
      </c>
      <c r="F48" s="79">
        <f>63499.62</f>
        <v>63499.62</v>
      </c>
      <c r="G48" s="79">
        <f>0</f>
        <v>0</v>
      </c>
      <c r="H48" s="79">
        <f>0</f>
        <v>0</v>
      </c>
      <c r="I48" s="89">
        <f>0</f>
        <v>0</v>
      </c>
      <c r="J48" s="90"/>
      <c r="K48" s="77">
        <f t="shared" si="2"/>
        <v>0.04099452275972631</v>
      </c>
      <c r="L48" s="77">
        <f t="shared" si="3"/>
        <v>11.51649816747269</v>
      </c>
      <c r="M48" s="22"/>
    </row>
    <row r="49" spans="2:13" ht="12.75">
      <c r="B49" s="67" t="s">
        <v>26</v>
      </c>
      <c r="C49" s="68">
        <f aca="true" t="shared" si="5" ref="C49:I49">C43-C44-C45-C46-C47-C48</f>
        <v>2236521223.1</v>
      </c>
      <c r="D49" s="68">
        <f t="shared" si="5"/>
        <v>970026626.01</v>
      </c>
      <c r="E49" s="68">
        <f t="shared" si="5"/>
        <v>472489156.7499999</v>
      </c>
      <c r="F49" s="68">
        <f t="shared" si="5"/>
        <v>162364976.12999997</v>
      </c>
      <c r="G49" s="68">
        <f t="shared" si="5"/>
        <v>0</v>
      </c>
      <c r="H49" s="68">
        <f t="shared" si="5"/>
        <v>1788911.96</v>
      </c>
      <c r="I49" s="89">
        <f t="shared" si="5"/>
        <v>0</v>
      </c>
      <c r="J49" s="90"/>
      <c r="K49" s="77">
        <f t="shared" si="2"/>
        <v>82.8969035469584</v>
      </c>
      <c r="L49" s="77">
        <f t="shared" si="3"/>
        <v>21.126075257854765</v>
      </c>
      <c r="M49" s="22"/>
    </row>
    <row r="50" spans="2:13" ht="12.75">
      <c r="B50" s="64" t="s">
        <v>15</v>
      </c>
      <c r="C50" s="76">
        <f>C6-C40</f>
        <v>-176020864.0300002</v>
      </c>
      <c r="D50" s="76"/>
      <c r="E50" s="76">
        <f>D6-E40</f>
        <v>91248473.04000008</v>
      </c>
      <c r="F50" s="76"/>
      <c r="G50" s="76"/>
      <c r="H50" s="76"/>
      <c r="I50" s="92"/>
      <c r="J50" s="92"/>
      <c r="K50" s="80"/>
      <c r="L50" s="80"/>
      <c r="M50" s="54"/>
    </row>
    <row r="51" spans="2:13" ht="7.5" customHeight="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2:13" ht="14.25" customHeight="1">
      <c r="B52" s="109" t="s">
        <v>83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63"/>
    </row>
    <row r="53" spans="2:13" ht="12.75">
      <c r="B53" s="58" t="s">
        <v>16</v>
      </c>
      <c r="C53" s="111" t="s">
        <v>17</v>
      </c>
      <c r="D53" s="112"/>
      <c r="E53" s="111" t="s">
        <v>1</v>
      </c>
      <c r="F53" s="112"/>
      <c r="G53" s="50" t="s">
        <v>21</v>
      </c>
      <c r="H53" s="50" t="s">
        <v>22</v>
      </c>
      <c r="I53" s="47"/>
      <c r="J53" s="47"/>
      <c r="K53" s="47"/>
      <c r="L53" s="47"/>
      <c r="M53" s="47"/>
    </row>
    <row r="54" spans="2:13" ht="12.75">
      <c r="B54" s="58"/>
      <c r="C54" s="98" t="s">
        <v>39</v>
      </c>
      <c r="D54" s="113"/>
      <c r="E54" s="113"/>
      <c r="F54" s="114"/>
      <c r="G54" s="115" t="s">
        <v>4</v>
      </c>
      <c r="H54" s="116"/>
      <c r="I54" s="47"/>
      <c r="J54" s="47"/>
      <c r="K54" s="47"/>
      <c r="L54" s="47"/>
      <c r="M54" s="47"/>
    </row>
    <row r="55" spans="2:13" ht="12.75">
      <c r="B55" s="59">
        <v>1</v>
      </c>
      <c r="C55" s="60">
        <v>2</v>
      </c>
      <c r="D55" s="61"/>
      <c r="E55" s="60">
        <v>3</v>
      </c>
      <c r="F55" s="61"/>
      <c r="G55" s="62">
        <v>4</v>
      </c>
      <c r="H55" s="62">
        <v>5</v>
      </c>
      <c r="I55" s="47"/>
      <c r="J55" s="47"/>
      <c r="K55" s="47"/>
      <c r="L55" s="47"/>
      <c r="M55" s="47"/>
    </row>
    <row r="56" spans="2:13" ht="22.5">
      <c r="B56" s="56" t="s">
        <v>33</v>
      </c>
      <c r="C56" s="29">
        <f>217005093.05</f>
        <v>217005093.05</v>
      </c>
      <c r="D56" s="30"/>
      <c r="E56" s="29">
        <f>758315397.77</f>
        <v>758315397.77</v>
      </c>
      <c r="F56" s="30"/>
      <c r="G56" s="26">
        <f>IF($E$56=0,"",100*$E56/$E$56)</f>
        <v>100</v>
      </c>
      <c r="H56" s="21">
        <f>IF(C56=0,"",100*E56/C56)</f>
        <v>349.44589876297374</v>
      </c>
      <c r="I56" s="47"/>
      <c r="J56" s="47"/>
      <c r="K56" s="47"/>
      <c r="L56" s="47"/>
      <c r="M56" s="47"/>
    </row>
    <row r="57" spans="2:13" ht="22.5">
      <c r="B57" s="23" t="s">
        <v>70</v>
      </c>
      <c r="C57" s="31">
        <f>41685046</f>
        <v>41685046</v>
      </c>
      <c r="D57" s="32"/>
      <c r="E57" s="31">
        <f>4418186.14</f>
        <v>4418186.14</v>
      </c>
      <c r="F57" s="32"/>
      <c r="G57" s="40">
        <f aca="true" t="shared" si="6" ref="G57:G63">IF($E$56=0,"",100*$E57/$E$56)</f>
        <v>0.5826317325208861</v>
      </c>
      <c r="H57" s="41">
        <f aca="true" t="shared" si="7" ref="H57:H68">IF(C57=0,"",100*E57/C57)</f>
        <v>10.598971487281073</v>
      </c>
      <c r="I57" s="47"/>
      <c r="J57" s="47"/>
      <c r="K57" s="47"/>
      <c r="L57" s="47"/>
      <c r="M57" s="47"/>
    </row>
    <row r="58" spans="2:13" ht="22.5">
      <c r="B58" s="81" t="s">
        <v>71</v>
      </c>
      <c r="C58" s="82">
        <f>0</f>
        <v>0</v>
      </c>
      <c r="D58" s="83"/>
      <c r="E58" s="82">
        <f>0</f>
        <v>0</v>
      </c>
      <c r="F58" s="83"/>
      <c r="G58" s="84">
        <f t="shared" si="6"/>
        <v>0</v>
      </c>
      <c r="H58" s="78">
        <f t="shared" si="7"/>
      </c>
      <c r="I58" s="47"/>
      <c r="J58" s="47"/>
      <c r="K58" s="47"/>
      <c r="L58" s="47"/>
      <c r="M58" s="47"/>
    </row>
    <row r="59" spans="2:13" ht="12.75">
      <c r="B59" s="85" t="s">
        <v>72</v>
      </c>
      <c r="C59" s="82">
        <f>0</f>
        <v>0</v>
      </c>
      <c r="D59" s="83"/>
      <c r="E59" s="82">
        <f>0</f>
        <v>0</v>
      </c>
      <c r="F59" s="83"/>
      <c r="G59" s="84">
        <f t="shared" si="6"/>
        <v>0</v>
      </c>
      <c r="H59" s="78">
        <f t="shared" si="7"/>
      </c>
      <c r="I59" s="47"/>
      <c r="J59" s="47"/>
      <c r="K59" s="47"/>
      <c r="L59" s="47"/>
      <c r="M59" s="47"/>
    </row>
    <row r="60" spans="2:13" ht="12.75">
      <c r="B60" s="85" t="s">
        <v>73</v>
      </c>
      <c r="C60" s="82">
        <f>146773387.42</f>
        <v>146773387.42</v>
      </c>
      <c r="D60" s="83"/>
      <c r="E60" s="82">
        <f>652929249.36</f>
        <v>652929249.36</v>
      </c>
      <c r="F60" s="83"/>
      <c r="G60" s="84">
        <f t="shared" si="6"/>
        <v>86.10259679285004</v>
      </c>
      <c r="H60" s="78">
        <f t="shared" si="7"/>
        <v>444.8553384487936</v>
      </c>
      <c r="I60" s="47"/>
      <c r="J60" s="47"/>
      <c r="K60" s="47"/>
      <c r="L60" s="47"/>
      <c r="M60" s="47"/>
    </row>
    <row r="61" spans="2:13" ht="12.75">
      <c r="B61" s="85" t="s">
        <v>74</v>
      </c>
      <c r="C61" s="82">
        <f>0</f>
        <v>0</v>
      </c>
      <c r="D61" s="83"/>
      <c r="E61" s="82">
        <f>0</f>
        <v>0</v>
      </c>
      <c r="F61" s="83"/>
      <c r="G61" s="84">
        <f t="shared" si="6"/>
        <v>0</v>
      </c>
      <c r="H61" s="78">
        <f t="shared" si="7"/>
      </c>
      <c r="I61" s="47"/>
      <c r="J61" s="47"/>
      <c r="K61" s="47"/>
      <c r="L61" s="47"/>
      <c r="M61" s="47"/>
    </row>
    <row r="62" spans="2:13" ht="33.75">
      <c r="B62" s="85" t="s">
        <v>75</v>
      </c>
      <c r="C62" s="82">
        <f>21399616.95</f>
        <v>21399616.95</v>
      </c>
      <c r="D62" s="83"/>
      <c r="E62" s="82">
        <f>78772111.53</f>
        <v>78772111.53</v>
      </c>
      <c r="F62" s="83"/>
      <c r="G62" s="84">
        <f t="shared" si="6"/>
        <v>10.387776875116531</v>
      </c>
      <c r="H62" s="78">
        <f t="shared" si="7"/>
        <v>368.10056794030606</v>
      </c>
      <c r="I62" s="47"/>
      <c r="J62" s="47"/>
      <c r="K62" s="47"/>
      <c r="L62" s="47"/>
      <c r="M62" s="47"/>
    </row>
    <row r="63" spans="2:13" ht="12.75">
      <c r="B63" s="81" t="s">
        <v>41</v>
      </c>
      <c r="C63" s="82">
        <f>0</f>
        <v>0</v>
      </c>
      <c r="D63" s="83"/>
      <c r="E63" s="82">
        <f>768805.48</f>
        <v>768805.48</v>
      </c>
      <c r="F63" s="83"/>
      <c r="G63" s="84">
        <f t="shared" si="6"/>
        <v>0.10138334026459815</v>
      </c>
      <c r="H63" s="78">
        <f t="shared" si="7"/>
      </c>
      <c r="I63" s="47"/>
      <c r="J63" s="47"/>
      <c r="K63" s="47"/>
      <c r="L63" s="47"/>
      <c r="M63" s="47"/>
    </row>
    <row r="64" spans="2:13" ht="22.5">
      <c r="B64" s="56" t="s">
        <v>34</v>
      </c>
      <c r="C64" s="37">
        <f>40912257</f>
        <v>40912257</v>
      </c>
      <c r="D64" s="38"/>
      <c r="E64" s="37">
        <f>228159385.4</f>
        <v>228159385.4</v>
      </c>
      <c r="F64" s="38"/>
      <c r="G64" s="26">
        <f>IF($E$64=0,"",100*$E64/$E$64)</f>
        <v>100</v>
      </c>
      <c r="H64" s="21">
        <f t="shared" si="7"/>
        <v>557.6797813916744</v>
      </c>
      <c r="I64" s="47"/>
      <c r="J64" s="47"/>
      <c r="K64" s="47"/>
      <c r="L64" s="47"/>
      <c r="M64" s="47"/>
    </row>
    <row r="65" spans="2:13" ht="33.75">
      <c r="B65" s="23" t="s">
        <v>76</v>
      </c>
      <c r="C65" s="31">
        <f>37682034.57</f>
        <v>37682034.57</v>
      </c>
      <c r="D65" s="35"/>
      <c r="E65" s="36">
        <f>11417405.38</f>
        <v>11417405.38</v>
      </c>
      <c r="F65" s="35"/>
      <c r="G65" s="40">
        <f>IF($E$64=0,"",100*$E65/$E$64)</f>
        <v>5.004135753602008</v>
      </c>
      <c r="H65" s="41">
        <f t="shared" si="7"/>
        <v>30.29933364874571</v>
      </c>
      <c r="I65" s="47"/>
      <c r="J65" s="47"/>
      <c r="K65" s="47"/>
      <c r="L65" s="47"/>
      <c r="M65" s="47"/>
    </row>
    <row r="66" spans="2:13" ht="12.75">
      <c r="B66" s="85" t="s">
        <v>77</v>
      </c>
      <c r="C66" s="82">
        <f>0</f>
        <v>0</v>
      </c>
      <c r="D66" s="83"/>
      <c r="E66" s="82">
        <f>0</f>
        <v>0</v>
      </c>
      <c r="F66" s="83"/>
      <c r="G66" s="84">
        <f>IF($E$64=0,"",100*$E66/$E$64)</f>
        <v>0</v>
      </c>
      <c r="H66" s="78">
        <f t="shared" si="7"/>
      </c>
      <c r="I66" s="47"/>
      <c r="J66" s="47"/>
      <c r="K66" s="47"/>
      <c r="L66" s="47"/>
      <c r="M66" s="47"/>
    </row>
    <row r="67" spans="2:13" ht="12.75">
      <c r="B67" s="85" t="s">
        <v>78</v>
      </c>
      <c r="C67" s="82">
        <f>150000</f>
        <v>150000</v>
      </c>
      <c r="D67" s="83"/>
      <c r="E67" s="82">
        <f>600000</f>
        <v>600000</v>
      </c>
      <c r="F67" s="83"/>
      <c r="G67" s="84">
        <f>IF($E$64=0,"",100*$E67/$E$64)</f>
        <v>0.2629740604131203</v>
      </c>
      <c r="H67" s="78">
        <f t="shared" si="7"/>
        <v>400</v>
      </c>
      <c r="I67" s="47"/>
      <c r="J67" s="47"/>
      <c r="K67" s="47"/>
      <c r="L67" s="47"/>
      <c r="M67" s="47"/>
    </row>
    <row r="68" spans="2:13" ht="12.75">
      <c r="B68" s="85" t="s">
        <v>23</v>
      </c>
      <c r="C68" s="82">
        <f>3080222.43</f>
        <v>3080222.43</v>
      </c>
      <c r="D68" s="83"/>
      <c r="E68" s="82">
        <f>216141980.02</f>
        <v>216141980.02</v>
      </c>
      <c r="F68" s="83"/>
      <c r="G68" s="84">
        <f>IF($E$64=0,"",100*$E68/$E$64)</f>
        <v>94.73289018598487</v>
      </c>
      <c r="H68" s="78">
        <f t="shared" si="7"/>
        <v>7017.08999697142</v>
      </c>
      <c r="I68" s="47"/>
      <c r="J68" s="47"/>
      <c r="K68" s="47"/>
      <c r="L68" s="47"/>
      <c r="M68" s="47"/>
    </row>
    <row r="69" spans="2:13" ht="12.75">
      <c r="B69" s="22"/>
      <c r="C69" s="22"/>
      <c r="D69" s="22"/>
      <c r="E69" s="22"/>
      <c r="F69" s="22"/>
      <c r="G69" s="22"/>
      <c r="H69" s="22"/>
      <c r="I69" s="47"/>
      <c r="J69" s="47"/>
      <c r="K69" s="47"/>
      <c r="L69" s="47"/>
      <c r="M69" s="47"/>
    </row>
    <row r="70" spans="2:13" ht="12.75">
      <c r="B70" s="55" t="s">
        <v>16</v>
      </c>
      <c r="C70" s="103" t="s">
        <v>17</v>
      </c>
      <c r="D70" s="104"/>
      <c r="E70" s="103" t="s">
        <v>1</v>
      </c>
      <c r="F70" s="104"/>
      <c r="G70" s="13" t="s">
        <v>21</v>
      </c>
      <c r="H70" s="13" t="s">
        <v>22</v>
      </c>
      <c r="I70" s="47"/>
      <c r="J70" s="47"/>
      <c r="K70" s="47"/>
      <c r="L70" s="47"/>
      <c r="M70" s="47"/>
    </row>
    <row r="71" spans="2:13" ht="12.75">
      <c r="B71" s="55"/>
      <c r="C71" s="100" t="s">
        <v>39</v>
      </c>
      <c r="D71" s="101"/>
      <c r="E71" s="101"/>
      <c r="F71" s="102"/>
      <c r="G71" s="105" t="s">
        <v>4</v>
      </c>
      <c r="H71" s="106"/>
      <c r="I71" s="47"/>
      <c r="J71" s="47"/>
      <c r="K71" s="47"/>
      <c r="L71" s="47"/>
      <c r="M71" s="47"/>
    </row>
    <row r="72" spans="2:13" ht="12.75">
      <c r="B72" s="24">
        <v>1</v>
      </c>
      <c r="C72" s="27">
        <v>2</v>
      </c>
      <c r="D72" s="28"/>
      <c r="E72" s="27">
        <v>3</v>
      </c>
      <c r="F72" s="28"/>
      <c r="G72" s="25">
        <v>4</v>
      </c>
      <c r="H72" s="25">
        <v>5</v>
      </c>
      <c r="I72" s="47"/>
      <c r="J72" s="47"/>
      <c r="K72" s="47"/>
      <c r="L72" s="47"/>
      <c r="M72" s="47"/>
    </row>
    <row r="73" spans="2:13" ht="22.5">
      <c r="B73" s="39" t="s">
        <v>42</v>
      </c>
      <c r="C73" s="34">
        <f>180823345.89</f>
        <v>180823345.89</v>
      </c>
      <c r="D73" s="33"/>
      <c r="E73" s="34">
        <f>0</f>
        <v>0</v>
      </c>
      <c r="F73" s="30"/>
      <c r="G73" s="26"/>
      <c r="H73" s="21"/>
      <c r="I73" s="47"/>
      <c r="J73" s="47"/>
      <c r="K73" s="47"/>
      <c r="L73" s="47"/>
      <c r="M73" s="47"/>
    </row>
    <row r="74" spans="2:13" ht="45">
      <c r="B74" s="44" t="s">
        <v>43</v>
      </c>
      <c r="C74" s="36">
        <f>0</f>
        <v>0</v>
      </c>
      <c r="D74" s="35"/>
      <c r="E74" s="36">
        <f>0</f>
        <v>0</v>
      </c>
      <c r="F74" s="35"/>
      <c r="G74" s="40"/>
      <c r="H74" s="41"/>
      <c r="I74" s="47"/>
      <c r="J74" s="47"/>
      <c r="K74" s="47"/>
      <c r="L74" s="47"/>
      <c r="M74" s="47"/>
    </row>
    <row r="75" spans="2:13" ht="12.75">
      <c r="B75" s="44" t="s">
        <v>44</v>
      </c>
      <c r="C75" s="36">
        <f>27891822.7</f>
        <v>27891822.7</v>
      </c>
      <c r="D75" s="35"/>
      <c r="E75" s="36">
        <f>0</f>
        <v>0</v>
      </c>
      <c r="F75" s="35"/>
      <c r="G75" s="40"/>
      <c r="H75" s="41"/>
      <c r="I75" s="47"/>
      <c r="J75" s="47"/>
      <c r="K75" s="47"/>
      <c r="L75" s="47"/>
      <c r="M75" s="47"/>
    </row>
    <row r="76" spans="2:13" ht="22.5">
      <c r="B76" s="44" t="s">
        <v>45</v>
      </c>
      <c r="C76" s="36">
        <f>0</f>
        <v>0</v>
      </c>
      <c r="D76" s="35"/>
      <c r="E76" s="36">
        <f>0</f>
        <v>0</v>
      </c>
      <c r="F76" s="35"/>
      <c r="G76" s="40"/>
      <c r="H76" s="41"/>
      <c r="I76" s="47"/>
      <c r="J76" s="47"/>
      <c r="K76" s="47"/>
      <c r="L76" s="47"/>
      <c r="M76" s="47"/>
    </row>
    <row r="77" spans="2:13" ht="33.75">
      <c r="B77" s="44" t="s">
        <v>46</v>
      </c>
      <c r="C77" s="36">
        <f>2840746.63</f>
        <v>2840746.63</v>
      </c>
      <c r="D77" s="35"/>
      <c r="E77" s="36">
        <f>0</f>
        <v>0</v>
      </c>
      <c r="F77" s="35"/>
      <c r="G77" s="40"/>
      <c r="H77" s="41"/>
      <c r="I77" s="47"/>
      <c r="J77" s="47"/>
      <c r="K77" s="47"/>
      <c r="L77" s="47"/>
      <c r="M77" s="47"/>
    </row>
    <row r="78" spans="2:13" ht="75" customHeight="1">
      <c r="B78" s="44" t="s">
        <v>47</v>
      </c>
      <c r="C78" s="36">
        <f>2840746.63</f>
        <v>2840746.63</v>
      </c>
      <c r="D78" s="35"/>
      <c r="E78" s="36">
        <f>0</f>
        <v>0</v>
      </c>
      <c r="F78" s="35"/>
      <c r="G78" s="40"/>
      <c r="H78" s="41"/>
      <c r="I78" s="47"/>
      <c r="J78" s="47"/>
      <c r="K78" s="47"/>
      <c r="L78" s="47"/>
      <c r="M78" s="47"/>
    </row>
    <row r="79" spans="2:13" ht="3" customHeight="1">
      <c r="B79" s="22"/>
      <c r="C79" s="22"/>
      <c r="D79" s="22"/>
      <c r="E79" s="22"/>
      <c r="F79" s="22"/>
      <c r="G79" s="22"/>
      <c r="H79" s="22"/>
      <c r="I79" s="47"/>
      <c r="J79" s="47"/>
      <c r="K79" s="47"/>
      <c r="L79" s="47"/>
      <c r="M79" s="47"/>
    </row>
    <row r="80" spans="2:13" ht="12.75">
      <c r="B80" s="55" t="s">
        <v>16</v>
      </c>
      <c r="C80" s="103" t="s">
        <v>81</v>
      </c>
      <c r="D80" s="107"/>
      <c r="E80" s="107"/>
      <c r="F80" s="108"/>
      <c r="G80" s="47"/>
      <c r="H80" s="47"/>
      <c r="I80" s="47"/>
      <c r="J80" s="47"/>
      <c r="K80" s="47"/>
      <c r="L80" s="47"/>
      <c r="M80" s="47"/>
    </row>
    <row r="81" spans="2:13" ht="12.75">
      <c r="B81" s="55"/>
      <c r="C81" s="100" t="s">
        <v>39</v>
      </c>
      <c r="D81" s="101"/>
      <c r="E81" s="101"/>
      <c r="F81" s="102"/>
      <c r="G81" s="47"/>
      <c r="H81" s="47"/>
      <c r="I81" s="47"/>
      <c r="J81" s="47"/>
      <c r="K81" s="47"/>
      <c r="L81" s="47"/>
      <c r="M81" s="47"/>
    </row>
    <row r="82" spans="2:13" ht="12.75">
      <c r="B82" s="24">
        <v>1</v>
      </c>
      <c r="C82" s="119">
        <v>2</v>
      </c>
      <c r="D82" s="120"/>
      <c r="E82" s="120"/>
      <c r="F82" s="121"/>
      <c r="G82" s="47"/>
      <c r="H82" s="47"/>
      <c r="I82" s="47"/>
      <c r="J82" s="47"/>
      <c r="K82" s="47"/>
      <c r="L82" s="47"/>
      <c r="M82" s="47"/>
    </row>
    <row r="83" spans="2:13" ht="56.25">
      <c r="B83" s="39" t="s">
        <v>48</v>
      </c>
      <c r="C83" s="118">
        <f>0</f>
        <v>0</v>
      </c>
      <c r="D83" s="107"/>
      <c r="E83" s="107"/>
      <c r="F83" s="108"/>
      <c r="G83" s="47"/>
      <c r="H83" s="47"/>
      <c r="I83" s="47"/>
      <c r="J83" s="47"/>
      <c r="K83" s="47"/>
      <c r="L83" s="47"/>
      <c r="M83" s="47"/>
    </row>
    <row r="84" spans="2:13" ht="33.75">
      <c r="B84" s="44" t="s">
        <v>49</v>
      </c>
      <c r="C84" s="118">
        <f>0</f>
        <v>0</v>
      </c>
      <c r="D84" s="107"/>
      <c r="E84" s="107"/>
      <c r="F84" s="108"/>
      <c r="G84" s="47"/>
      <c r="H84" s="47"/>
      <c r="I84" s="47"/>
      <c r="J84" s="47"/>
      <c r="K84" s="47"/>
      <c r="L84" s="47"/>
      <c r="M84" s="47"/>
    </row>
    <row r="85" spans="2:13" ht="33.75">
      <c r="B85" s="44" t="s">
        <v>50</v>
      </c>
      <c r="C85" s="118">
        <f>0</f>
        <v>0</v>
      </c>
      <c r="D85" s="107"/>
      <c r="E85" s="107"/>
      <c r="F85" s="108"/>
      <c r="G85" s="47"/>
      <c r="H85" s="47"/>
      <c r="I85" s="47"/>
      <c r="J85" s="47"/>
      <c r="K85" s="47"/>
      <c r="L85" s="47"/>
      <c r="M85" s="47"/>
    </row>
    <row r="86" spans="2:13" ht="67.5">
      <c r="B86" s="44" t="s">
        <v>51</v>
      </c>
      <c r="C86" s="118">
        <f>0</f>
        <v>0</v>
      </c>
      <c r="D86" s="107"/>
      <c r="E86" s="107"/>
      <c r="F86" s="108"/>
      <c r="G86" s="47"/>
      <c r="H86" s="47"/>
      <c r="I86" s="47"/>
      <c r="J86" s="47"/>
      <c r="K86" s="47"/>
      <c r="L86" s="47"/>
      <c r="M86" s="47"/>
    </row>
    <row r="87" spans="2:13" ht="45">
      <c r="B87" s="44" t="s">
        <v>52</v>
      </c>
      <c r="C87" s="118">
        <f>0</f>
        <v>0</v>
      </c>
      <c r="D87" s="107"/>
      <c r="E87" s="107"/>
      <c r="F87" s="108"/>
      <c r="G87" s="47"/>
      <c r="H87" s="47"/>
      <c r="I87" s="47"/>
      <c r="J87" s="47"/>
      <c r="K87" s="47"/>
      <c r="L87" s="47"/>
      <c r="M87" s="47"/>
    </row>
    <row r="88" spans="2:13" ht="56.25">
      <c r="B88" s="86" t="s">
        <v>53</v>
      </c>
      <c r="C88" s="118">
        <f>0</f>
        <v>0</v>
      </c>
      <c r="D88" s="107"/>
      <c r="E88" s="107"/>
      <c r="F88" s="108"/>
      <c r="G88" s="47"/>
      <c r="H88" s="47"/>
      <c r="I88" s="47"/>
      <c r="J88" s="47"/>
      <c r="K88" s="47"/>
      <c r="L88" s="47"/>
      <c r="M88" s="47"/>
    </row>
    <row r="89" spans="2:13" ht="45">
      <c r="B89" s="86" t="s">
        <v>54</v>
      </c>
      <c r="C89" s="118">
        <f>0</f>
        <v>0</v>
      </c>
      <c r="D89" s="107"/>
      <c r="E89" s="107"/>
      <c r="F89" s="108"/>
      <c r="G89" s="47"/>
      <c r="H89" s="47"/>
      <c r="I89" s="47"/>
      <c r="J89" s="47"/>
      <c r="K89" s="47"/>
      <c r="L89" s="47"/>
      <c r="M89" s="47"/>
    </row>
    <row r="90" spans="2:13" ht="90">
      <c r="B90" s="86" t="s">
        <v>79</v>
      </c>
      <c r="C90" s="118">
        <f>0</f>
        <v>0</v>
      </c>
      <c r="D90" s="107"/>
      <c r="E90" s="107"/>
      <c r="F90" s="108"/>
      <c r="G90" s="47"/>
      <c r="H90" s="47"/>
      <c r="I90" s="47"/>
      <c r="J90" s="47"/>
      <c r="K90" s="47"/>
      <c r="L90" s="47"/>
      <c r="M90" s="47"/>
    </row>
    <row r="91" spans="2:13" ht="90">
      <c r="B91" s="86" t="s">
        <v>80</v>
      </c>
      <c r="C91" s="118">
        <f>0</f>
        <v>0</v>
      </c>
      <c r="D91" s="107"/>
      <c r="E91" s="107"/>
      <c r="F91" s="108"/>
      <c r="G91" s="47"/>
      <c r="H91" s="47"/>
      <c r="I91" s="47"/>
      <c r="J91" s="47"/>
      <c r="K91" s="47"/>
      <c r="L91" s="47"/>
      <c r="M91" s="47"/>
    </row>
    <row r="92" spans="2:13" ht="12.75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</row>
    <row r="93" spans="2:13" ht="3.75" customHeight="1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</row>
  </sheetData>
  <sheetProtection/>
  <mergeCells count="50">
    <mergeCell ref="C88:F88"/>
    <mergeCell ref="C89:F89"/>
    <mergeCell ref="C90:F90"/>
    <mergeCell ref="C91:F91"/>
    <mergeCell ref="C82:F82"/>
    <mergeCell ref="C83:F83"/>
    <mergeCell ref="C84:F84"/>
    <mergeCell ref="C85:F85"/>
    <mergeCell ref="C86:F86"/>
    <mergeCell ref="C87:F87"/>
    <mergeCell ref="B1:L1"/>
    <mergeCell ref="B33:L33"/>
    <mergeCell ref="B52:L52"/>
    <mergeCell ref="C53:D53"/>
    <mergeCell ref="E53:F53"/>
    <mergeCell ref="C54:F54"/>
    <mergeCell ref="G54:H54"/>
    <mergeCell ref="L35:L37"/>
    <mergeCell ref="B35:B38"/>
    <mergeCell ref="K35:K37"/>
    <mergeCell ref="C81:F81"/>
    <mergeCell ref="C70:D70"/>
    <mergeCell ref="E70:F70"/>
    <mergeCell ref="C71:F71"/>
    <mergeCell ref="G71:H71"/>
    <mergeCell ref="C80:F80"/>
    <mergeCell ref="F4:H4"/>
    <mergeCell ref="I35:J37"/>
    <mergeCell ref="D35:D37"/>
    <mergeCell ref="B3:B4"/>
    <mergeCell ref="F36:F37"/>
    <mergeCell ref="F35:H35"/>
    <mergeCell ref="G36:H36"/>
    <mergeCell ref="C4:E4"/>
    <mergeCell ref="C38:J38"/>
    <mergeCell ref="C35:C37"/>
    <mergeCell ref="I42:J42"/>
    <mergeCell ref="I43:J43"/>
    <mergeCell ref="I45:J45"/>
    <mergeCell ref="K38:L38"/>
    <mergeCell ref="I46:J46"/>
    <mergeCell ref="I47:J47"/>
    <mergeCell ref="I49:J49"/>
    <mergeCell ref="E35:E37"/>
    <mergeCell ref="I50:J50"/>
    <mergeCell ref="I48:J48"/>
    <mergeCell ref="I40:J40"/>
    <mergeCell ref="I41:J41"/>
    <mergeCell ref="I44:J44"/>
    <mergeCell ref="I39:J39"/>
  </mergeCells>
  <printOptions/>
  <pageMargins left="0.1968503937007874" right="0.1968503937007874" top="0.5511811023622047" bottom="0.3937007874015748" header="0.31496062992125984" footer="0.1968503937007874"/>
  <pageSetup firstPageNumber="1" useFirstPageNumber="1" horizontalDpi="600" verticalDpi="600" orientation="landscape" paperSize="9" scale="95" r:id="rId3"/>
  <headerFooter alignWithMargins="0">
    <oddFooter>&amp;RStrona &amp;P z &amp;N</oddFooter>
  </headerFooter>
  <rowBreaks count="3" manualBreakCount="3">
    <brk id="31" max="11" man="1"/>
    <brk id="51" max="11" man="1"/>
    <brk id="79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2017-03-30T12:13:25Z</cp:lastPrinted>
  <dcterms:created xsi:type="dcterms:W3CDTF">2001-05-17T08:58:03Z</dcterms:created>
  <dcterms:modified xsi:type="dcterms:W3CDTF">2020-06-10T10:50:16Z</dcterms:modified>
  <cp:category/>
  <cp:version/>
  <cp:contentType/>
  <cp:contentStatus/>
</cp:coreProperties>
</file>