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```ST7\Besti@\2023\I kwartał\Dane ostateczne 2023.05.26\Zbiorówki_2023_k1_20230526\"/>
    </mc:Choice>
  </mc:AlternateContent>
  <bookViews>
    <workbookView xWindow="240" yWindow="120" windowWidth="14220" windowHeight="8835"/>
  </bookViews>
  <sheets>
    <sheet name="doch_wyd" sheetId="4" r:id="rId1"/>
  </sheets>
  <definedNames>
    <definedName name="_xlnm.Print_Area" localSheetId="0">doch_wyd!$A$1:$M$140</definedName>
  </definedNames>
  <calcPr calcId="152511"/>
</workbook>
</file>

<file path=xl/calcChain.xml><?xml version="1.0" encoding="utf-8"?>
<calcChain xmlns="http://schemas.openxmlformats.org/spreadsheetml/2006/main">
  <c r="C140" i="4" l="1"/>
  <c r="C139" i="4"/>
  <c r="C138" i="4"/>
  <c r="C137" i="4"/>
  <c r="D135" i="4"/>
  <c r="C135" i="4"/>
  <c r="D134" i="4"/>
  <c r="C134" i="4"/>
  <c r="D133" i="4"/>
  <c r="C133" i="4"/>
  <c r="D132" i="4"/>
  <c r="C132" i="4"/>
  <c r="D131" i="4"/>
  <c r="C131" i="4"/>
  <c r="D130" i="4"/>
  <c r="C130" i="4"/>
  <c r="D129" i="4"/>
  <c r="C129" i="4"/>
  <c r="D128" i="4"/>
  <c r="C128" i="4"/>
  <c r="D127" i="4"/>
  <c r="C127" i="4"/>
  <c r="D122" i="4"/>
  <c r="C122" i="4"/>
  <c r="D121" i="4"/>
  <c r="C121" i="4"/>
  <c r="D120" i="4"/>
  <c r="C120" i="4"/>
  <c r="D119" i="4"/>
  <c r="C119" i="4"/>
  <c r="D118" i="4"/>
  <c r="C118" i="4"/>
  <c r="D117" i="4"/>
  <c r="C117" i="4"/>
  <c r="D116" i="4"/>
  <c r="C116" i="4"/>
  <c r="D115" i="4"/>
  <c r="E115" i="4" s="1"/>
  <c r="C115" i="4"/>
  <c r="D114" i="4"/>
  <c r="C114" i="4"/>
  <c r="D113" i="4"/>
  <c r="C113" i="4"/>
  <c r="D112" i="4"/>
  <c r="C112" i="4"/>
  <c r="D111" i="4"/>
  <c r="C111" i="4"/>
  <c r="D110" i="4"/>
  <c r="C110" i="4"/>
  <c r="D109" i="4"/>
  <c r="C109" i="4"/>
  <c r="D108" i="4"/>
  <c r="C108" i="4"/>
  <c r="D107" i="4"/>
  <c r="C107" i="4"/>
  <c r="D106" i="4"/>
  <c r="C106" i="4"/>
  <c r="I98" i="4"/>
  <c r="H98" i="4"/>
  <c r="G98" i="4"/>
  <c r="F98" i="4"/>
  <c r="E98" i="4"/>
  <c r="D98" i="4"/>
  <c r="C98" i="4"/>
  <c r="I97" i="4"/>
  <c r="H97" i="4"/>
  <c r="G97" i="4"/>
  <c r="F97" i="4"/>
  <c r="E97" i="4"/>
  <c r="D97" i="4"/>
  <c r="C97" i="4"/>
  <c r="I91" i="4"/>
  <c r="H91" i="4"/>
  <c r="G91" i="4"/>
  <c r="F91" i="4"/>
  <c r="E91" i="4"/>
  <c r="D91" i="4"/>
  <c r="C91" i="4"/>
  <c r="I90" i="4"/>
  <c r="H90" i="4"/>
  <c r="G90" i="4"/>
  <c r="F90" i="4"/>
  <c r="E90" i="4"/>
  <c r="D90" i="4"/>
  <c r="C90" i="4"/>
  <c r="I89" i="4"/>
  <c r="H89" i="4"/>
  <c r="G89" i="4"/>
  <c r="F89" i="4"/>
  <c r="E89" i="4"/>
  <c r="D89" i="4"/>
  <c r="C89" i="4"/>
  <c r="I88" i="4"/>
  <c r="H88" i="4"/>
  <c r="G88" i="4"/>
  <c r="F88" i="4"/>
  <c r="E88" i="4"/>
  <c r="D88" i="4"/>
  <c r="C88" i="4"/>
  <c r="I87" i="4"/>
  <c r="H87" i="4"/>
  <c r="G87" i="4"/>
  <c r="F87" i="4"/>
  <c r="E87" i="4"/>
  <c r="D87" i="4"/>
  <c r="C87" i="4"/>
  <c r="I85" i="4"/>
  <c r="H85" i="4"/>
  <c r="G85" i="4"/>
  <c r="F85" i="4"/>
  <c r="E85" i="4"/>
  <c r="D85" i="4"/>
  <c r="C85" i="4"/>
  <c r="I84" i="4"/>
  <c r="H84" i="4"/>
  <c r="G84" i="4"/>
  <c r="F84" i="4"/>
  <c r="E84" i="4"/>
  <c r="D84" i="4"/>
  <c r="C84" i="4"/>
  <c r="I83" i="4"/>
  <c r="H83" i="4"/>
  <c r="G83" i="4"/>
  <c r="F83" i="4"/>
  <c r="E83" i="4"/>
  <c r="D83" i="4"/>
  <c r="C83" i="4"/>
  <c r="I72" i="4"/>
  <c r="H72" i="4"/>
  <c r="G72" i="4"/>
  <c r="F72" i="4"/>
  <c r="E72" i="4"/>
  <c r="D72" i="4"/>
  <c r="C72" i="4"/>
  <c r="D69" i="4"/>
  <c r="C69" i="4"/>
  <c r="D68" i="4"/>
  <c r="C68" i="4"/>
  <c r="D66" i="4"/>
  <c r="C66" i="4"/>
  <c r="D65" i="4"/>
  <c r="C65" i="4"/>
  <c r="D64" i="4"/>
  <c r="C64" i="4"/>
  <c r="D62" i="4"/>
  <c r="C62" i="4"/>
  <c r="D61" i="4"/>
  <c r="C61" i="4"/>
  <c r="D59" i="4"/>
  <c r="C59" i="4"/>
  <c r="D58" i="4"/>
  <c r="C58" i="4"/>
  <c r="D57" i="4"/>
  <c r="C57" i="4"/>
  <c r="D56" i="4"/>
  <c r="C56" i="4"/>
  <c r="D55" i="4"/>
  <c r="C55" i="4"/>
  <c r="D54" i="4"/>
  <c r="C54" i="4"/>
  <c r="D53" i="4"/>
  <c r="C53" i="4"/>
  <c r="D52" i="4"/>
  <c r="C52" i="4"/>
  <c r="D51" i="4"/>
  <c r="C51" i="4"/>
  <c r="D50" i="4"/>
  <c r="C50" i="4"/>
  <c r="D49" i="4"/>
  <c r="C49" i="4"/>
  <c r="D48" i="4"/>
  <c r="C48" i="4"/>
  <c r="D47" i="4"/>
  <c r="C47" i="4"/>
  <c r="D46" i="4"/>
  <c r="C46" i="4"/>
  <c r="D45" i="4"/>
  <c r="C45" i="4"/>
  <c r="D44" i="4"/>
  <c r="C44" i="4"/>
  <c r="D43" i="4"/>
  <c r="C43" i="4"/>
  <c r="D42" i="4"/>
  <c r="C42" i="4"/>
  <c r="D41" i="4"/>
  <c r="C41" i="4"/>
  <c r="D40" i="4"/>
  <c r="C40" i="4"/>
  <c r="D38" i="4"/>
  <c r="C38" i="4"/>
  <c r="D37" i="4"/>
  <c r="C37" i="4"/>
  <c r="D36" i="4"/>
  <c r="C36" i="4"/>
  <c r="D35" i="4"/>
  <c r="C35" i="4"/>
  <c r="D34" i="4"/>
  <c r="C34" i="4"/>
  <c r="D33" i="4"/>
  <c r="C33" i="4"/>
  <c r="D31" i="4"/>
  <c r="C31" i="4"/>
  <c r="D30" i="4"/>
  <c r="C30" i="4"/>
  <c r="D29" i="4"/>
  <c r="C29" i="4"/>
  <c r="D28" i="4"/>
  <c r="C28" i="4"/>
  <c r="D27" i="4"/>
  <c r="C27" i="4"/>
  <c r="D26" i="4"/>
  <c r="C26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7" i="4"/>
  <c r="H7" i="4"/>
  <c r="G7" i="4"/>
  <c r="F7" i="4"/>
  <c r="E7" i="4"/>
  <c r="D7" i="4"/>
  <c r="C7" i="4"/>
  <c r="I5" i="4"/>
  <c r="H5" i="4"/>
  <c r="G5" i="4"/>
  <c r="F5" i="4"/>
  <c r="E5" i="4"/>
  <c r="D5" i="4"/>
  <c r="C5" i="4"/>
  <c r="E122" i="4"/>
  <c r="F122" i="4"/>
  <c r="E114" i="4"/>
  <c r="E116" i="4"/>
  <c r="F116" i="4"/>
  <c r="F114" i="4"/>
  <c r="D137" i="4"/>
  <c r="B101" i="4" s="1"/>
  <c r="J43" i="4"/>
  <c r="J46" i="4"/>
  <c r="J16" i="4"/>
  <c r="D71" i="4"/>
  <c r="D73" i="4" s="1"/>
  <c r="J27" i="4"/>
  <c r="J26" i="4"/>
  <c r="J15" i="4"/>
  <c r="J53" i="4"/>
  <c r="J33" i="4"/>
  <c r="J47" i="4"/>
  <c r="J48" i="4"/>
  <c r="J9" i="4"/>
  <c r="J49" i="4"/>
  <c r="J35" i="4"/>
  <c r="J14" i="4"/>
  <c r="J54" i="4"/>
  <c r="J59" i="4"/>
  <c r="J55" i="4"/>
  <c r="J64" i="4"/>
  <c r="J69" i="4"/>
  <c r="J61" i="4"/>
  <c r="J13" i="4"/>
  <c r="J56" i="4"/>
  <c r="J42" i="4"/>
  <c r="J68" i="4"/>
  <c r="J21" i="4"/>
  <c r="J45" i="4"/>
  <c r="J50" i="4"/>
  <c r="J12" i="4"/>
  <c r="J71" i="4"/>
  <c r="J62" i="4"/>
  <c r="J66" i="4"/>
  <c r="J5" i="4"/>
  <c r="J10" i="4"/>
  <c r="J8" i="4"/>
  <c r="J34" i="4"/>
  <c r="J41" i="4"/>
  <c r="J28" i="4"/>
  <c r="J17" i="4"/>
  <c r="J36" i="4"/>
  <c r="J30" i="4"/>
  <c r="J44" i="4"/>
  <c r="J7" i="4"/>
  <c r="J72" i="4"/>
  <c r="J40" i="4"/>
  <c r="J51" i="4"/>
  <c r="J31" i="4"/>
  <c r="J20" i="4"/>
  <c r="J37" i="4"/>
  <c r="J65" i="4"/>
  <c r="J19" i="4"/>
  <c r="J57" i="4"/>
  <c r="J38" i="4"/>
  <c r="J52" i="4"/>
  <c r="D93" i="4"/>
  <c r="J11" i="4"/>
  <c r="J58" i="4"/>
  <c r="J29" i="4"/>
  <c r="J18" i="4"/>
  <c r="F71" i="4"/>
  <c r="F73" i="4" s="1"/>
  <c r="F6" i="4"/>
  <c r="F22" i="4" s="1"/>
  <c r="H71" i="4"/>
  <c r="H73" i="4" s="1"/>
  <c r="H6" i="4"/>
  <c r="H22" i="4" s="1"/>
  <c r="K7" i="4"/>
  <c r="K9" i="4"/>
  <c r="K11" i="4"/>
  <c r="K13" i="4"/>
  <c r="C93" i="4"/>
  <c r="K5" i="4"/>
  <c r="C71" i="4"/>
  <c r="K71" i="4" s="1"/>
  <c r="E71" i="4"/>
  <c r="E73" i="4"/>
  <c r="E6" i="4"/>
  <c r="E22" i="4"/>
  <c r="G71" i="4"/>
  <c r="G73" i="4"/>
  <c r="G6" i="4"/>
  <c r="G22" i="4"/>
  <c r="I6" i="4"/>
  <c r="I22" i="4" s="1"/>
  <c r="I71" i="4"/>
  <c r="I73" i="4" s="1"/>
  <c r="K8" i="4"/>
  <c r="K10" i="4"/>
  <c r="K12" i="4"/>
  <c r="K14" i="4"/>
  <c r="K15" i="4"/>
  <c r="K17" i="4"/>
  <c r="K19" i="4"/>
  <c r="K21" i="4"/>
  <c r="D25" i="4"/>
  <c r="J25" i="4" s="1"/>
  <c r="D32" i="4"/>
  <c r="J32" i="4" s="1"/>
  <c r="D39" i="4"/>
  <c r="J39" i="4" s="1"/>
  <c r="D63" i="4"/>
  <c r="J63" i="4" s="1"/>
  <c r="D67" i="4"/>
  <c r="J67" i="4" s="1"/>
  <c r="C86" i="4"/>
  <c r="C92" i="4" s="1"/>
  <c r="K83" i="4"/>
  <c r="E86" i="4"/>
  <c r="E92" i="4" s="1"/>
  <c r="G86" i="4"/>
  <c r="G92" i="4"/>
  <c r="I86" i="4"/>
  <c r="I92" i="4"/>
  <c r="K85" i="4"/>
  <c r="K88" i="4"/>
  <c r="K90" i="4"/>
  <c r="C99" i="4"/>
  <c r="K99" i="4" s="1"/>
  <c r="K97" i="4"/>
  <c r="E99" i="4"/>
  <c r="G99" i="4"/>
  <c r="I99" i="4"/>
  <c r="F106" i="4"/>
  <c r="F107" i="4"/>
  <c r="F108" i="4"/>
  <c r="F109" i="4"/>
  <c r="F110" i="4"/>
  <c r="F111" i="4"/>
  <c r="F112" i="4"/>
  <c r="F113" i="4"/>
  <c r="F117" i="4"/>
  <c r="F118" i="4"/>
  <c r="F119" i="4"/>
  <c r="F120" i="4"/>
  <c r="F121" i="4"/>
  <c r="K16" i="4"/>
  <c r="K18" i="4"/>
  <c r="K20" i="4"/>
  <c r="K26" i="4"/>
  <c r="C25" i="4"/>
  <c r="K27" i="4"/>
  <c r="K28" i="4"/>
  <c r="K29" i="4"/>
  <c r="K30" i="4"/>
  <c r="K31" i="4"/>
  <c r="C32" i="4"/>
  <c r="K32" i="4" s="1"/>
  <c r="K33" i="4"/>
  <c r="K34" i="4"/>
  <c r="K35" i="4"/>
  <c r="K36" i="4"/>
  <c r="K37" i="4"/>
  <c r="K38" i="4"/>
  <c r="C39" i="4"/>
  <c r="K39" i="4" s="1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1" i="4"/>
  <c r="K62" i="4"/>
  <c r="C63" i="4"/>
  <c r="K63" i="4" s="1"/>
  <c r="K64" i="4"/>
  <c r="K65" i="4"/>
  <c r="K66" i="4"/>
  <c r="C67" i="4"/>
  <c r="K67" i="4" s="1"/>
  <c r="K68" i="4"/>
  <c r="K69" i="4"/>
  <c r="K72" i="4"/>
  <c r="J89" i="4"/>
  <c r="J90" i="4"/>
  <c r="J87" i="4"/>
  <c r="J91" i="4"/>
  <c r="D86" i="4"/>
  <c r="D92" i="4" s="1"/>
  <c r="J92" i="4" s="1"/>
  <c r="J85" i="4"/>
  <c r="J84" i="4"/>
  <c r="J83" i="4"/>
  <c r="J88" i="4"/>
  <c r="F86" i="4"/>
  <c r="F92" i="4" s="1"/>
  <c r="H86" i="4"/>
  <c r="H92" i="4"/>
  <c r="K84" i="4"/>
  <c r="K87" i="4"/>
  <c r="K89" i="4"/>
  <c r="K91" i="4"/>
  <c r="J98" i="4"/>
  <c r="D99" i="4"/>
  <c r="J99" i="4"/>
  <c r="J97" i="4"/>
  <c r="F99" i="4"/>
  <c r="H99" i="4"/>
  <c r="K98" i="4"/>
  <c r="E110" i="4"/>
  <c r="E109" i="4"/>
  <c r="E106" i="4"/>
  <c r="E112" i="4"/>
  <c r="E108" i="4"/>
  <c r="E113" i="4"/>
  <c r="E111" i="4"/>
  <c r="E107" i="4"/>
  <c r="E120" i="4"/>
  <c r="E118" i="4"/>
  <c r="E117" i="4"/>
  <c r="E121" i="4"/>
  <c r="E119" i="4"/>
  <c r="C73" i="4"/>
  <c r="B76" i="4"/>
  <c r="B1" i="4"/>
  <c r="F115" i="4" l="1"/>
  <c r="C94" i="4"/>
  <c r="K92" i="4"/>
  <c r="K86" i="4"/>
  <c r="J86" i="4"/>
  <c r="D60" i="4"/>
  <c r="J60" i="4" s="1"/>
  <c r="C60" i="4"/>
  <c r="C24" i="4"/>
  <c r="C23" i="4" s="1"/>
  <c r="D24" i="4"/>
  <c r="J24" i="4" s="1"/>
  <c r="K25" i="4"/>
  <c r="J73" i="4"/>
  <c r="D94" i="4"/>
  <c r="K73" i="4"/>
  <c r="K60" i="4" l="1"/>
  <c r="K24" i="4"/>
  <c r="D23" i="4"/>
  <c r="J23" i="4" s="1"/>
  <c r="C6" i="4"/>
  <c r="K23" i="4" l="1"/>
  <c r="D6" i="4"/>
  <c r="J6" i="4" s="1"/>
  <c r="C22" i="4"/>
  <c r="L11" i="4" l="1"/>
  <c r="L13" i="4"/>
  <c r="L19" i="4"/>
  <c r="L17" i="4"/>
  <c r="K6" i="4"/>
  <c r="L7" i="4"/>
  <c r="L16" i="4"/>
  <c r="L6" i="4"/>
  <c r="L8" i="4"/>
  <c r="L14" i="4"/>
  <c r="L10" i="4"/>
  <c r="L21" i="4"/>
  <c r="D22" i="4"/>
  <c r="J22" i="4" s="1"/>
  <c r="L18" i="4"/>
  <c r="L15" i="4"/>
  <c r="L12" i="4"/>
  <c r="L9" i="4"/>
  <c r="L20" i="4"/>
  <c r="L22" i="4" l="1"/>
  <c r="K22" i="4"/>
</calcChain>
</file>

<file path=xl/sharedStrings.xml><?xml version="1.0" encoding="utf-8"?>
<sst xmlns="http://schemas.openxmlformats.org/spreadsheetml/2006/main" count="389" uniqueCount="125">
  <si>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</si>
  <si>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</si>
  <si>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</si>
  <si>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</si>
  <si>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</si>
  <si>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</si>
  <si>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</si>
  <si>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>otrzymane z funduszy celowych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</si>
  <si>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</si>
  <si>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</si>
  <si>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</si>
  <si>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</si>
  <si>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</si>
  <si>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</si>
  <si>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</si>
  <si>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</si>
  <si>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</si>
  <si>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rolny  </t>
  </si>
  <si>
    <t xml:space="preserve">podatek od nieruchomości </t>
  </si>
  <si>
    <t xml:space="preserve">podatek leśny        </t>
  </si>
  <si>
    <t>podatek od środków transportowych</t>
  </si>
  <si>
    <t>dochody z majątku</t>
  </si>
  <si>
    <t xml:space="preserve">pozostałe dochody </t>
  </si>
  <si>
    <t>Struktura</t>
  </si>
  <si>
    <t>Wskaźnik</t>
  </si>
  <si>
    <t xml:space="preserve">podatek od spadków i darowizn       </t>
  </si>
  <si>
    <t>podatek od czynności cywilnoprawnych</t>
  </si>
  <si>
    <t>w tym wymagalne: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</si>
  <si>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</si>
  <si>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</si>
  <si>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</si>
  <si>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</si>
  <si>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</si>
  <si>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</si>
  <si>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</si>
  <si>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uzupełnienie subwencji ogólnej</t>
  </si>
  <si>
    <t xml:space="preserve">podatek od dział. gosp. osób fizycznych, opłacany w formie karty podatkowej </t>
  </si>
  <si>
    <t>część równoważąca</t>
  </si>
  <si>
    <t>część rekompensująca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</si>
  <si>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</si>
  <si>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</si>
  <si>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</si>
  <si>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</si>
  <si>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</si>
  <si>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</si>
  <si>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</si>
  <si>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</si>
  <si>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</si>
  <si>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</si>
  <si>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</si>
  <si>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opłata skarbowa</t>
  </si>
  <si>
    <t>opłata eksploatacyjna</t>
  </si>
  <si>
    <t>opłata targowa</t>
  </si>
  <si>
    <t>- część gminna</t>
  </si>
  <si>
    <t>- część powiatowa</t>
  </si>
  <si>
    <t>- pozostałe</t>
  </si>
  <si>
    <t>#</t>
  </si>
  <si>
    <t>Razem dochody własne 
z tego:</t>
  </si>
  <si>
    <t>podatek dochodowy od osób prawnych - 
część gminna</t>
  </si>
  <si>
    <t>podatek dochodowy od osób prawnych - 
część powiatowa</t>
  </si>
  <si>
    <t>podatek dochodowy od osób fizycznych - 
część gminna</t>
  </si>
  <si>
    <t>podatek dochodowy od osób fizycznych - 
część powiatowa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</si>
  <si>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</si>
  <si>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</si>
  <si>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</si>
  <si>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</si>
  <si>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</si>
  <si>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</si>
  <si>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</si>
  <si>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</si>
  <si>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</si>
  <si>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</si>
  <si>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</si>
  <si>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tytul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</si>
  <si>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</si>
  <si>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</si>
  <si>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</si>
  <si>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</si>
  <si>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</si>
  <si>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</si>
  <si>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</si>
  <si>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</si>
  <si>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</si>
  <si>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</si>
  <si>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</si>
  <si>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Dotacje §§ 200 i 620</t>
  </si>
  <si>
    <t>w tym: inwestycyjne § 620</t>
  </si>
  <si>
    <t>Dotacje §§ 205 i 625</t>
  </si>
  <si>
    <t>w tym: inwestycyjne § 625</t>
  </si>
  <si>
    <t>WYDATKI OGÓŁEM UE                    z tego: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</si>
  <si>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</si>
  <si>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</si>
  <si>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</si>
  <si>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</si>
  <si>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spłaty kredytów i pożyczek, wykup papierów wartościowych w tym:</t>
  </si>
  <si>
    <t>wykup papierów wartościowych</t>
  </si>
  <si>
    <t>wolne środki, o których mowa w art. 217 ust. 2 pkt 6 ustawy o finansach publicznych</t>
  </si>
  <si>
    <t>niewykorzystane środki pieniężne o których mowa w art.217 ust.2 pkt.8 ustawy o finansach publicznych</t>
  </si>
  <si>
    <t xml:space="preserve">otrzymane ze środków z Funduszu Przeciwdziałania COVID-19 (m.in. z Rządowego Funduszu Inwestycji Lokalnych) </t>
  </si>
  <si>
    <t>w tym: inwestycyjne</t>
  </si>
  <si>
    <t>na finansowanie lub dofinansowanie zadań inwestycyjnych obiektów zabytkowych oraz prac remontowych i konserwatorskich przy zabytkach</t>
  </si>
  <si>
    <t>nadwyżka z lat ubiegłych, pomniejszona o niewykorzystane środki pieniężne, o których mowa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</si>
  <si>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</si>
  <si>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</si>
  <si>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nadwyżka budżetu jednostki samorządu terytorialnego z lat ubiegłych, pomniejszona o środki określone w art. 217 ust. 2 pkt 8 ustawy o finansach publicznych</t>
  </si>
  <si>
    <t>wynagrodzenia i składki od nich naliczane</t>
  </si>
  <si>
    <t>Dotacje ogółem 
z tego:</t>
  </si>
  <si>
    <t>Subwencja ogólna dla gmin 
z tego:</t>
  </si>
  <si>
    <t>Subwencja ogólna dla powiatów 
z tego:</t>
  </si>
  <si>
    <t>Dochody bieżące 
minus 
Wydatki bieżące</t>
  </si>
  <si>
    <t>udzielone pożyczki</t>
  </si>
  <si>
    <t>WYDATKI Z UDZIAŁEM ŚRODKÓW, O KTÓRYCH MOWA W ART. 5 UST. 1 pkt 2</t>
  </si>
  <si>
    <t>na zadania z zakresu adm. Rządowej (*)</t>
  </si>
  <si>
    <t>na zadania własne (*)</t>
  </si>
  <si>
    <t>otrzymane z Funduszu Pomocy lub z innych środków (**)</t>
  </si>
  <si>
    <t>(**) na finansowanie lub dofinansowanie realizacji zadań w zakresie pomocy obywatelom Ukrainy</t>
  </si>
  <si>
    <t xml:space="preserve">(*) nie obejmuje zadań w zakresie pomocy obywatelom Ukrainy </t>
  </si>
  <si>
    <t>na zadania z zakresu adm. rządowej w zakresie pomocy obywatelom Ukrainy</t>
  </si>
  <si>
    <t>na zadania własne w zakresie pomocy obywatelom Ukrainy</t>
  </si>
  <si>
    <t>inne źródła, w tym:</t>
  </si>
  <si>
    <t>środki z lokat dokonanych w latach ubiegłych</t>
  </si>
  <si>
    <t>inne cele, w tym:</t>
  </si>
  <si>
    <t>lokaty na okres wykraczający poza rok budżetowy</t>
  </si>
  <si>
    <t>stan niespłaconych na koniec okresu sprawozdawczego zobowiązań przeznaczonych na cel , o którym mowa w art. 89 ust. 1 pkt 1 ustawy o finansach publicznych</t>
  </si>
  <si>
    <t>FINANSOWANIE DEFICYTU (E1+E2+E3+E4+E5+E6+E7+E8) 
z tego: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</si>
</sst>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"/>
    <numFmt numFmtId="165" formatCode="dd/mm/yy\ h:mm;@"/>
  </numFmts>
  <fonts count="38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4"/>
      <name val="Arial"/>
      <family val="2"/>
      <charset val="238"/>
    </font>
    <font>
      <b/>
      <sz val="7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3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2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3" borderId="0" applyNumberFormat="0" applyBorder="0" applyAlignment="0" applyProtection="0"/>
    <xf numFmtId="0" fontId="12" fillId="8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3" borderId="0" applyNumberFormat="0" applyBorder="0" applyAlignment="0" applyProtection="0"/>
    <xf numFmtId="0" fontId="13" fillId="8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18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1" applyNumberFormat="0" applyAlignment="0" applyProtection="0"/>
    <xf numFmtId="0" fontId="23" fillId="0" borderId="7" applyNumberFormat="0" applyFill="0" applyAlignment="0" applyProtection="0"/>
    <xf numFmtId="0" fontId="24" fillId="8" borderId="0" applyNumberFormat="0" applyBorder="0" applyAlignment="0" applyProtection="0"/>
    <xf numFmtId="0" fontId="35" fillId="0" borderId="0"/>
    <xf numFmtId="0" fontId="35" fillId="0" borderId="0"/>
    <xf numFmtId="0" fontId="1" fillId="4" borderId="8" applyNumberFormat="0" applyFont="0" applyAlignment="0" applyProtection="0"/>
    <xf numFmtId="0" fontId="29" fillId="4" borderId="8" applyNumberFormat="0" applyFont="0" applyAlignment="0" applyProtection="0"/>
    <xf numFmtId="0" fontId="25" fillId="16" borderId="3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</cellStyleXfs>
  <cellXfs count="132">
    <xf numFmtId="0" fontId="0" fillId="0" borderId="0" xfId="0"/>
    <xf numFmtId="164" fontId="5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 indent="2"/>
    </xf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4" fontId="31" fillId="21" borderId="10" xfId="0" applyNumberFormat="1" applyFont="1" applyFill="1" applyBorder="1" applyAlignment="1">
      <alignment horizontal="center" vertical="center"/>
    </xf>
    <xf numFmtId="4" fontId="32" fillId="0" borderId="10" xfId="0" applyNumberFormat="1" applyFont="1" applyBorder="1" applyAlignment="1">
      <alignment horizontal="center" vertical="center"/>
    </xf>
    <xf numFmtId="164" fontId="32" fillId="0" borderId="10" xfId="0" applyNumberFormat="1" applyFont="1" applyFill="1" applyBorder="1" applyAlignment="1">
      <alignment horizontal="center" vertical="center"/>
    </xf>
    <xf numFmtId="4" fontId="32" fillId="0" borderId="10" xfId="0" applyNumberFormat="1" applyFont="1" applyFill="1" applyBorder="1" applyAlignment="1">
      <alignment horizontal="center" vertical="center"/>
    </xf>
    <xf numFmtId="4" fontId="32" fillId="21" borderId="10" xfId="0" applyNumberFormat="1" applyFont="1" applyFill="1" applyBorder="1" applyAlignment="1">
      <alignment horizontal="center" vertical="center"/>
    </xf>
    <xf numFmtId="164" fontId="32" fillId="0" borderId="0" xfId="0" applyNumberFormat="1" applyFont="1" applyFill="1" applyBorder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164" fontId="32" fillId="20" borderId="10" xfId="0" applyNumberFormat="1" applyFont="1" applyFill="1" applyBorder="1" applyAlignment="1">
      <alignment horizontal="center" vertical="center"/>
    </xf>
    <xf numFmtId="4" fontId="32" fillId="22" borderId="10" xfId="0" applyNumberFormat="1" applyFont="1" applyFill="1" applyBorder="1" applyAlignment="1">
      <alignment horizontal="center" vertical="center"/>
    </xf>
    <xf numFmtId="164" fontId="32" fillId="22" borderId="1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164" fontId="33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" fontId="32" fillId="0" borderId="0" xfId="0" applyNumberFormat="1" applyFont="1" applyFill="1" applyBorder="1" applyAlignment="1">
      <alignment horizontal="center" vertical="center"/>
    </xf>
    <xf numFmtId="164" fontId="33" fillId="0" borderId="0" xfId="0" applyNumberFormat="1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164" fontId="34" fillId="21" borderId="10" xfId="0" applyNumberFormat="1" applyFont="1" applyFill="1" applyBorder="1" applyAlignment="1">
      <alignment horizontal="center" vertical="center"/>
    </xf>
    <xf numFmtId="4" fontId="33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3" fontId="31" fillId="0" borderId="0" xfId="0" applyNumberFormat="1" applyFont="1" applyBorder="1" applyAlignment="1">
      <alignment horizontal="center" vertical="center"/>
    </xf>
    <xf numFmtId="164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164" fontId="34" fillId="0" borderId="10" xfId="0" applyNumberFormat="1" applyFont="1" applyFill="1" applyBorder="1" applyAlignment="1">
      <alignment horizontal="center" vertical="center"/>
    </xf>
    <xf numFmtId="164" fontId="34" fillId="20" borderId="10" xfId="28" applyNumberFormat="1" applyFont="1" applyFill="1" applyBorder="1" applyAlignment="1">
      <alignment horizontal="center" vertical="center"/>
    </xf>
    <xf numFmtId="164" fontId="34" fillId="22" borderId="10" xfId="28" applyNumberFormat="1" applyFont="1" applyFill="1" applyBorder="1" applyAlignment="1">
      <alignment horizontal="center" vertical="center"/>
    </xf>
    <xf numFmtId="164" fontId="34" fillId="22" borderId="10" xfId="0" applyNumberFormat="1" applyFont="1" applyFill="1" applyBorder="1" applyAlignment="1">
      <alignment horizontal="center" vertical="center"/>
    </xf>
    <xf numFmtId="164" fontId="34" fillId="0" borderId="10" xfId="28" applyNumberFormat="1" applyFont="1" applyFill="1" applyBorder="1" applyAlignment="1">
      <alignment horizontal="center" vertical="center"/>
    </xf>
    <xf numFmtId="164" fontId="34" fillId="21" borderId="10" xfId="28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19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" fontId="34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4" fontId="31" fillId="0" borderId="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Fill="1" applyBorder="1" applyAlignment="1">
      <alignment horizontal="center" vertical="center" wrapText="1"/>
    </xf>
    <xf numFmtId="3" fontId="31" fillId="0" borderId="14" xfId="0" applyNumberFormat="1" applyFont="1" applyBorder="1" applyAlignment="1">
      <alignment horizontal="center" vertical="center"/>
    </xf>
    <xf numFmtId="164" fontId="33" fillId="0" borderId="14" xfId="0" applyNumberFormat="1" applyFont="1" applyBorder="1" applyAlignment="1">
      <alignment horizontal="center"/>
    </xf>
    <xf numFmtId="0" fontId="33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" fontId="31" fillId="0" borderId="12" xfId="0" applyNumberFormat="1" applyFont="1" applyFill="1" applyBorder="1" applyAlignment="1">
      <alignment horizontal="center" vertical="center" wrapText="1"/>
    </xf>
    <xf numFmtId="164" fontId="34" fillId="0" borderId="11" xfId="0" applyNumberFormat="1" applyFont="1" applyFill="1" applyBorder="1" applyAlignment="1">
      <alignment horizontal="center" vertical="center"/>
    </xf>
    <xf numFmtId="0" fontId="10" fillId="20" borderId="10" xfId="0" applyFont="1" applyFill="1" applyBorder="1" applyAlignment="1">
      <alignment horizontal="left" vertical="center" wrapText="1"/>
    </xf>
    <xf numFmtId="0" fontId="36" fillId="0" borderId="10" xfId="45" applyFont="1" applyFill="1" applyBorder="1" applyAlignment="1">
      <alignment horizontal="left" vertical="center" wrapText="1"/>
    </xf>
    <xf numFmtId="0" fontId="7" fillId="21" borderId="10" xfId="0" applyFont="1" applyFill="1" applyBorder="1" applyAlignment="1">
      <alignment horizontal="left" vertical="center" wrapText="1"/>
    </xf>
    <xf numFmtId="0" fontId="10" fillId="21" borderId="10" xfId="0" applyFont="1" applyFill="1" applyBorder="1" applyAlignment="1">
      <alignment horizontal="left" vertical="center" wrapText="1"/>
    </xf>
    <xf numFmtId="4" fontId="31" fillId="21" borderId="10" xfId="0" applyNumberFormat="1" applyFont="1" applyFill="1" applyBorder="1" applyAlignment="1">
      <alignment horizontal="right" vertical="center"/>
    </xf>
    <xf numFmtId="4" fontId="32" fillId="0" borderId="10" xfId="0" applyNumberFormat="1" applyFont="1" applyBorder="1" applyAlignment="1">
      <alignment horizontal="right" vertical="center"/>
    </xf>
    <xf numFmtId="4" fontId="32" fillId="0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Border="1" applyAlignment="1">
      <alignment horizontal="right" vertical="center"/>
    </xf>
    <xf numFmtId="4" fontId="32" fillId="22" borderId="10" xfId="0" applyNumberFormat="1" applyFont="1" applyFill="1" applyBorder="1" applyAlignment="1">
      <alignment horizontal="right" vertical="center"/>
    </xf>
    <xf numFmtId="4" fontId="32" fillId="21" borderId="10" xfId="0" applyNumberFormat="1" applyFont="1" applyFill="1" applyBorder="1" applyAlignment="1">
      <alignment horizontal="right" vertical="center"/>
    </xf>
    <xf numFmtId="4" fontId="34" fillId="21" borderId="10" xfId="0" applyNumberFormat="1" applyFont="1" applyFill="1" applyBorder="1" applyAlignment="1">
      <alignment horizontal="right" vertical="center"/>
    </xf>
    <xf numFmtId="4" fontId="31" fillId="21" borderId="10" xfId="0" applyNumberFormat="1" applyFont="1" applyFill="1" applyBorder="1" applyAlignment="1">
      <alignment horizontal="right" vertical="center" wrapText="1"/>
    </xf>
    <xf numFmtId="4" fontId="32" fillId="0" borderId="10" xfId="0" applyNumberFormat="1" applyFont="1" applyFill="1" applyBorder="1" applyAlignment="1">
      <alignment horizontal="right" vertical="center" wrapText="1"/>
    </xf>
    <xf numFmtId="4" fontId="32" fillId="0" borderId="13" xfId="0" applyNumberFormat="1" applyFont="1" applyFill="1" applyBorder="1" applyAlignment="1">
      <alignment horizontal="right" vertical="center" wrapText="1"/>
    </xf>
    <xf numFmtId="4" fontId="32" fillId="21" borderId="15" xfId="0" applyNumberFormat="1" applyFont="1" applyFill="1" applyBorder="1" applyAlignment="1">
      <alignment horizontal="right" vertical="center" wrapText="1"/>
    </xf>
    <xf numFmtId="4" fontId="32" fillId="21" borderId="11" xfId="0" applyNumberFormat="1" applyFont="1" applyFill="1" applyBorder="1" applyAlignment="1">
      <alignment horizontal="right" vertical="center" wrapText="1"/>
    </xf>
    <xf numFmtId="4" fontId="32" fillId="0" borderId="16" xfId="0" applyNumberFormat="1" applyFont="1" applyFill="1" applyBorder="1" applyAlignment="1">
      <alignment horizontal="right" vertical="center" wrapText="1"/>
    </xf>
    <xf numFmtId="4" fontId="34" fillId="20" borderId="13" xfId="0" applyNumberFormat="1" applyFont="1" applyFill="1" applyBorder="1" applyAlignment="1">
      <alignment horizontal="right" vertical="center"/>
    </xf>
    <xf numFmtId="4" fontId="33" fillId="0" borderId="13" xfId="0" applyNumberFormat="1" applyFont="1" applyBorder="1" applyAlignment="1">
      <alignment horizontal="right" vertical="center"/>
    </xf>
    <xf numFmtId="4" fontId="33" fillId="0" borderId="13" xfId="0" applyNumberFormat="1" applyFont="1" applyFill="1" applyBorder="1" applyAlignment="1">
      <alignment horizontal="right" vertical="center"/>
    </xf>
    <xf numFmtId="4" fontId="34" fillId="21" borderId="13" xfId="0" applyNumberFormat="1" applyFont="1" applyFill="1" applyBorder="1" applyAlignment="1">
      <alignment horizontal="right" vertical="center"/>
    </xf>
    <xf numFmtId="0" fontId="6" fillId="0" borderId="17" xfId="0" applyFont="1" applyBorder="1" applyAlignment="1">
      <alignment horizontal="center"/>
    </xf>
    <xf numFmtId="165" fontId="6" fillId="0" borderId="11" xfId="0" applyNumberFormat="1" applyFont="1" applyBorder="1" applyAlignment="1">
      <alignment horizontal="center"/>
    </xf>
    <xf numFmtId="0" fontId="30" fillId="0" borderId="0" xfId="0" applyFont="1" applyAlignment="1">
      <alignment vertical="center"/>
    </xf>
    <xf numFmtId="0" fontId="7" fillId="21" borderId="10" xfId="0" applyFont="1" applyFill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wrapText="1" indent="2"/>
    </xf>
    <xf numFmtId="0" fontId="7" fillId="21" borderId="10" xfId="0" applyFont="1" applyFill="1" applyBorder="1" applyAlignment="1">
      <alignment horizontal="left" vertical="center" wrapText="1" indent="2"/>
    </xf>
    <xf numFmtId="0" fontId="7" fillId="20" borderId="10" xfId="0" quotePrefix="1" applyFont="1" applyFill="1" applyBorder="1" applyAlignment="1">
      <alignment horizontal="left" vertical="center" wrapText="1" indent="2"/>
    </xf>
    <xf numFmtId="0" fontId="7" fillId="21" borderId="10" xfId="0" quotePrefix="1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3"/>
    </xf>
    <xf numFmtId="0" fontId="4" fillId="22" borderId="10" xfId="0" applyFont="1" applyFill="1" applyBorder="1" applyAlignment="1">
      <alignment horizontal="left" vertical="center" wrapText="1" indent="3"/>
    </xf>
    <xf numFmtId="0" fontId="4" fillId="0" borderId="10" xfId="0" applyFont="1" applyFill="1" applyBorder="1" applyAlignment="1">
      <alignment horizontal="left" vertical="center" wrapText="1" indent="4"/>
    </xf>
    <xf numFmtId="0" fontId="7" fillId="21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top" wrapText="1" indent="1"/>
    </xf>
    <xf numFmtId="0" fontId="6" fillId="0" borderId="10" xfId="0" applyFont="1" applyFill="1" applyBorder="1" applyAlignment="1">
      <alignment horizontal="left" vertical="top" wrapText="1" indent="1"/>
    </xf>
    <xf numFmtId="0" fontId="6" fillId="0" borderId="10" xfId="0" applyFont="1" applyFill="1" applyBorder="1" applyAlignment="1">
      <alignment horizontal="left" vertical="top" wrapText="1" indent="2"/>
    </xf>
    <xf numFmtId="0" fontId="7" fillId="0" borderId="10" xfId="0" applyFont="1" applyFill="1" applyBorder="1" applyAlignment="1">
      <alignment horizontal="right" vertical="center" wrapText="1"/>
    </xf>
    <xf numFmtId="0" fontId="7" fillId="0" borderId="10" xfId="0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right"/>
    </xf>
    <xf numFmtId="0" fontId="36" fillId="0" borderId="10" xfId="45" applyFont="1" applyFill="1" applyBorder="1" applyAlignment="1">
      <alignment horizontal="left" vertical="center" wrapText="1" indent="1"/>
    </xf>
    <xf numFmtId="0" fontId="10" fillId="0" borderId="14" xfId="45" applyFont="1" applyFill="1" applyBorder="1" applyAlignment="1">
      <alignment horizontal="left" vertical="center"/>
    </xf>
    <xf numFmtId="0" fontId="37" fillId="0" borderId="0" xfId="0" applyFont="1"/>
    <xf numFmtId="0" fontId="37" fillId="0" borderId="0" xfId="0" applyFont="1"/>
    <xf numFmtId="0" fontId="6" fillId="0" borderId="10" xfId="0" applyFont="1" applyFill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36" fillId="0" borderId="10" xfId="46" applyFont="1" applyBorder="1" applyAlignment="1">
      <alignment horizontal="left" vertical="center" wrapText="1" indent="1"/>
    </xf>
    <xf numFmtId="0" fontId="7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11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6" fillId="19" borderId="17" xfId="0" applyFont="1" applyFill="1" applyBorder="1" applyAlignment="1">
      <alignment horizontal="center" vertical="center" wrapText="1"/>
    </xf>
    <xf numFmtId="0" fontId="6" fillId="19" borderId="19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0" fontId="4" fillId="19" borderId="13" xfId="0" applyFont="1" applyFill="1" applyBorder="1" applyAlignment="1">
      <alignment horizontal="center" vertical="center"/>
    </xf>
    <xf numFmtId="0" fontId="4" fillId="19" borderId="18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6" fillId="19" borderId="16" xfId="0" applyFont="1" applyFill="1" applyBorder="1" applyAlignment="1">
      <alignment horizontal="center" vertical="center"/>
    </xf>
    <xf numFmtId="4" fontId="31" fillId="0" borderId="0" xfId="0" applyNumberFormat="1" applyFont="1" applyFill="1" applyBorder="1" applyAlignment="1">
      <alignment horizontal="center" vertical="center" wrapText="1"/>
    </xf>
    <xf numFmtId="0" fontId="6" fillId="19" borderId="16" xfId="0" applyFont="1" applyFill="1" applyBorder="1" applyAlignment="1">
      <alignment horizontal="center" vertical="center" wrapText="1"/>
    </xf>
    <xf numFmtId="0" fontId="6" fillId="19" borderId="13" xfId="0" applyNumberFormat="1" applyFont="1" applyFill="1" applyBorder="1" applyAlignment="1">
      <alignment horizontal="center" vertical="center" wrapText="1"/>
    </xf>
    <xf numFmtId="0" fontId="6" fillId="19" borderId="16" xfId="0" applyNumberFormat="1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5" fontId="6" fillId="0" borderId="13" xfId="0" applyNumberFormat="1" applyFont="1" applyBorder="1" applyAlignment="1">
      <alignment horizontal="center"/>
    </xf>
    <xf numFmtId="165" fontId="6" fillId="0" borderId="16" xfId="0" applyNumberFormat="1" applyFont="1" applyBorder="1" applyAlignment="1">
      <alignment horizontal="center"/>
    </xf>
  </cellXfs>
  <cellStyles count="5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Dziesiętny 2" xfId="28"/>
    <cellStyle name="Dziesiętny 2 2" xfId="29"/>
    <cellStyle name="Dziesiętny 3" xfId="30"/>
    <cellStyle name="Dziesiętny 3 2" xfId="31"/>
    <cellStyle name="Dziesiętny 3 3" xfId="32"/>
    <cellStyle name="Dziesiętny 3 4" xfId="33"/>
    <cellStyle name="Dziesiętny 4" xfId="34"/>
    <cellStyle name="Dziesiętny 5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alny" xfId="0" builtinId="0"/>
    <cellStyle name="Normalny 2" xfId="45"/>
    <cellStyle name="Normalny 2 2" xfId="46"/>
    <cellStyle name="Note" xfId="47"/>
    <cellStyle name="Note 2" xfId="48"/>
    <cellStyle name="Output" xfId="49"/>
    <cellStyle name="Title" xfId="50"/>
    <cellStyle name="Total" xfId="51"/>
    <cellStyle name="Warning Text" xfId="5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outlinePr summaryBelow="0"/>
  </sheetPr>
  <dimension ref="A1:Z140"/>
  <sheetViews>
    <sheetView tabSelected="1" topLeftCell="B1" zoomScaleNormal="100" workbookViewId="0">
      <selection activeCell="B2" sqref="B2:B3"/>
    </sheetView>
  </sheetViews>
  <sheetFormatPr defaultRowHeight="12.75" outlineLevelRow="1" outlineLevelCol="1" x14ac:dyDescent="0.2"/>
  <cols>
    <col min="1" max="1" width="5.7109375" style="15" hidden="1" customWidth="1"/>
    <col min="2" max="2" width="30.7109375" style="15" customWidth="1"/>
    <col min="3" max="4" width="14.5703125" style="15" customWidth="1"/>
    <col min="5" max="5" width="14.5703125" style="15" customWidth="1" outlineLevel="1"/>
    <col min="6" max="6" width="13.85546875" style="15" customWidth="1" outlineLevel="1"/>
    <col min="7" max="7" width="13" style="15" customWidth="1" outlineLevel="1"/>
    <col min="8" max="9" width="12.28515625" style="15" customWidth="1" outlineLevel="1"/>
    <col min="10" max="10" width="13" style="15" customWidth="1"/>
    <col min="11" max="11" width="7.42578125" style="15" customWidth="1"/>
    <col min="12" max="12" width="8.85546875" style="15" customWidth="1"/>
    <col min="13" max="13" width="8.140625" style="15" customWidth="1"/>
    <col min="14" max="16384" width="9.140625" style="15"/>
  </cols>
  <sheetData>
    <row r="1" spans="2:13" ht="27.75" customHeight="1" x14ac:dyDescent="0.2">
      <c r="B1" s="87" t="str">
        <f>CONCATENATE("Informacja z wykonania budżetów miast na prawach powiatu za ",$D$137," ",$C$138," rok    ",$C$140,"")</f>
        <v xml:space="preserve">Informacja z wykonania budżetów miast na prawach powiatu za I Kwartał 2023 rok    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2:13" ht="63" customHeight="1" x14ac:dyDescent="0.2">
      <c r="B2" s="110" t="s">
        <v>0</v>
      </c>
      <c r="C2" s="5" t="s">
        <v>28</v>
      </c>
      <c r="D2" s="5" t="s">
        <v>29</v>
      </c>
      <c r="E2" s="5" t="s">
        <v>30</v>
      </c>
      <c r="F2" s="5" t="s">
        <v>31</v>
      </c>
      <c r="G2" s="5" t="s">
        <v>32</v>
      </c>
      <c r="H2" s="5" t="s">
        <v>33</v>
      </c>
      <c r="I2" s="5" t="s">
        <v>34</v>
      </c>
      <c r="J2" s="6" t="s">
        <v>2</v>
      </c>
      <c r="K2" s="5" t="s">
        <v>16</v>
      </c>
      <c r="L2" s="5" t="s">
        <v>3</v>
      </c>
    </row>
    <row r="3" spans="2:13" x14ac:dyDescent="0.2">
      <c r="B3" s="110"/>
      <c r="C3" s="119" t="s">
        <v>78</v>
      </c>
      <c r="D3" s="120"/>
      <c r="E3" s="120"/>
      <c r="F3" s="120"/>
      <c r="G3" s="120"/>
      <c r="H3" s="120"/>
      <c r="I3" s="121"/>
      <c r="J3" s="122" t="s">
        <v>4</v>
      </c>
      <c r="K3" s="122"/>
      <c r="L3" s="122"/>
    </row>
    <row r="4" spans="2:13" x14ac:dyDescent="0.2">
      <c r="B4" s="6">
        <v>1</v>
      </c>
      <c r="C4" s="8">
        <v>2</v>
      </c>
      <c r="D4" s="8">
        <v>3</v>
      </c>
      <c r="E4" s="8">
        <v>4</v>
      </c>
      <c r="F4" s="8">
        <v>5</v>
      </c>
      <c r="G4" s="8">
        <v>6</v>
      </c>
      <c r="H4" s="8">
        <v>7</v>
      </c>
      <c r="I4" s="8">
        <v>8</v>
      </c>
      <c r="J4" s="8">
        <v>9</v>
      </c>
      <c r="K4" s="8">
        <v>10</v>
      </c>
      <c r="L4" s="8">
        <v>11</v>
      </c>
    </row>
    <row r="5" spans="2:13" ht="12.95" customHeight="1" x14ac:dyDescent="0.2">
      <c r="B5" s="65" t="s">
        <v>5</v>
      </c>
      <c r="C5" s="67">
        <f>106888107197.95</f>
        <v>106888107197.95</v>
      </c>
      <c r="D5" s="67">
        <f>30497042956.77</f>
        <v>30497042956.77</v>
      </c>
      <c r="E5" s="67">
        <f>210602515.72</f>
        <v>210602515.72</v>
      </c>
      <c r="F5" s="67">
        <f>47639383.97</f>
        <v>47639383.969999999</v>
      </c>
      <c r="G5" s="67">
        <f>7447059.47</f>
        <v>7447059.4699999997</v>
      </c>
      <c r="H5" s="67">
        <f>34972073.72</f>
        <v>34972073.719999999</v>
      </c>
      <c r="I5" s="67">
        <f>72083.38</f>
        <v>72083.38</v>
      </c>
      <c r="J5" s="16">
        <f t="shared" ref="J5:J73" si="0">IF($D$5=0,"",100*$D5/$D$5)</f>
        <v>100</v>
      </c>
      <c r="K5" s="16">
        <f t="shared" ref="K5:K49" si="1">IF(C5=0,"",100*D5/C5)</f>
        <v>28.531745725734865</v>
      </c>
      <c r="L5" s="16"/>
    </row>
    <row r="6" spans="2:13" ht="25.5" customHeight="1" x14ac:dyDescent="0.2">
      <c r="B6" s="88" t="s">
        <v>57</v>
      </c>
      <c r="C6" s="67">
        <f>C5-C23-C60</f>
        <v>66104545602.190002</v>
      </c>
      <c r="D6" s="67">
        <f>D5-D23-D60</f>
        <v>17386139000.279999</v>
      </c>
      <c r="E6" s="67">
        <f>E5</f>
        <v>210602515.72</v>
      </c>
      <c r="F6" s="67">
        <f>F5</f>
        <v>47639383.969999999</v>
      </c>
      <c r="G6" s="67">
        <f>G5</f>
        <v>7447059.4699999997</v>
      </c>
      <c r="H6" s="67">
        <f>H5</f>
        <v>34972073.719999999</v>
      </c>
      <c r="I6" s="67">
        <f>I5</f>
        <v>72083.38</v>
      </c>
      <c r="J6" s="16">
        <f t="shared" si="0"/>
        <v>57.009261602592431</v>
      </c>
      <c r="K6" s="16">
        <f t="shared" si="1"/>
        <v>26.300973468462974</v>
      </c>
      <c r="L6" s="16">
        <f t="shared" ref="L6:L22" si="2">IF($D$6=0,"",100*$D6/$D$6)</f>
        <v>100</v>
      </c>
    </row>
    <row r="7" spans="2:13" ht="33.75" outlineLevel="1" x14ac:dyDescent="0.2">
      <c r="B7" s="89" t="s">
        <v>58</v>
      </c>
      <c r="C7" s="68">
        <f>4125436276</f>
        <v>4125436276</v>
      </c>
      <c r="D7" s="68">
        <f>1031358984</f>
        <v>1031358984</v>
      </c>
      <c r="E7" s="68">
        <f>0</f>
        <v>0</v>
      </c>
      <c r="F7" s="68">
        <f>0</f>
        <v>0</v>
      </c>
      <c r="G7" s="68">
        <f>0</f>
        <v>0</v>
      </c>
      <c r="H7" s="68">
        <f>0</f>
        <v>0</v>
      </c>
      <c r="I7" s="68">
        <f>0</f>
        <v>0</v>
      </c>
      <c r="J7" s="18">
        <f t="shared" si="0"/>
        <v>3.3818327418234162</v>
      </c>
      <c r="K7" s="18">
        <f t="shared" si="1"/>
        <v>24.999997939611855</v>
      </c>
      <c r="L7" s="18">
        <f t="shared" si="2"/>
        <v>5.9320760289756702</v>
      </c>
    </row>
    <row r="8" spans="2:13" ht="33.75" outlineLevel="1" x14ac:dyDescent="0.2">
      <c r="B8" s="10" t="s">
        <v>59</v>
      </c>
      <c r="C8" s="69">
        <f>860746764</f>
        <v>860746764</v>
      </c>
      <c r="D8" s="69">
        <f>215186598</f>
        <v>215186598</v>
      </c>
      <c r="E8" s="69">
        <f>0</f>
        <v>0</v>
      </c>
      <c r="F8" s="69">
        <f>0</f>
        <v>0</v>
      </c>
      <c r="G8" s="69">
        <f>0</f>
        <v>0</v>
      </c>
      <c r="H8" s="69">
        <f>0</f>
        <v>0</v>
      </c>
      <c r="I8" s="69">
        <f>0</f>
        <v>0</v>
      </c>
      <c r="J8" s="18">
        <f t="shared" si="0"/>
        <v>0.70559823883590977</v>
      </c>
      <c r="K8" s="18">
        <f t="shared" si="1"/>
        <v>24.999989195428448</v>
      </c>
      <c r="L8" s="18">
        <f t="shared" si="2"/>
        <v>1.2376905418536828</v>
      </c>
    </row>
    <row r="9" spans="2:13" ht="33.75" outlineLevel="1" x14ac:dyDescent="0.2">
      <c r="B9" s="10" t="s">
        <v>60</v>
      </c>
      <c r="C9" s="69">
        <f>17879541639</f>
        <v>17879541639</v>
      </c>
      <c r="D9" s="69">
        <f>4469885322</f>
        <v>4469885322</v>
      </c>
      <c r="E9" s="69">
        <f>0</f>
        <v>0</v>
      </c>
      <c r="F9" s="69">
        <f>0</f>
        <v>0</v>
      </c>
      <c r="G9" s="69">
        <f>0</f>
        <v>0</v>
      </c>
      <c r="H9" s="69">
        <f>0</f>
        <v>0</v>
      </c>
      <c r="I9" s="69">
        <f>0</f>
        <v>0</v>
      </c>
      <c r="J9" s="18">
        <f t="shared" si="0"/>
        <v>14.656782719347994</v>
      </c>
      <c r="K9" s="18">
        <f t="shared" si="1"/>
        <v>24.999999509215606</v>
      </c>
      <c r="L9" s="18">
        <f t="shared" si="2"/>
        <v>25.709476508430157</v>
      </c>
    </row>
    <row r="10" spans="2:13" ht="33.75" outlineLevel="1" x14ac:dyDescent="0.2">
      <c r="B10" s="10" t="s">
        <v>61</v>
      </c>
      <c r="C10" s="69">
        <f>4772533904</f>
        <v>4772533904</v>
      </c>
      <c r="D10" s="69">
        <f>1193133393</f>
        <v>1193133393</v>
      </c>
      <c r="E10" s="69">
        <f>0</f>
        <v>0</v>
      </c>
      <c r="F10" s="69">
        <f>0</f>
        <v>0</v>
      </c>
      <c r="G10" s="69">
        <f>0</f>
        <v>0</v>
      </c>
      <c r="H10" s="69">
        <f>0</f>
        <v>0</v>
      </c>
      <c r="I10" s="69">
        <f>0</f>
        <v>0</v>
      </c>
      <c r="J10" s="18">
        <f t="shared" si="0"/>
        <v>3.9122920694025445</v>
      </c>
      <c r="K10" s="18">
        <f t="shared" si="1"/>
        <v>24.99999826088192</v>
      </c>
      <c r="L10" s="18">
        <f t="shared" si="2"/>
        <v>6.8625552400149621</v>
      </c>
    </row>
    <row r="11" spans="2:13" ht="12.95" customHeight="1" outlineLevel="1" x14ac:dyDescent="0.2">
      <c r="B11" s="10" t="s">
        <v>17</v>
      </c>
      <c r="C11" s="69">
        <f>27434762</f>
        <v>27434762</v>
      </c>
      <c r="D11" s="69">
        <f>14708038.21</f>
        <v>14708038.210000001</v>
      </c>
      <c r="E11" s="69">
        <f>490399.63</f>
        <v>490399.63</v>
      </c>
      <c r="F11" s="69">
        <f>2170.28</f>
        <v>2170.2800000000002</v>
      </c>
      <c r="G11" s="69">
        <f>5528.53</f>
        <v>5528.53</v>
      </c>
      <c r="H11" s="69">
        <f>31488.34</f>
        <v>31488.34</v>
      </c>
      <c r="I11" s="69">
        <f>0</f>
        <v>0</v>
      </c>
      <c r="J11" s="18">
        <f t="shared" si="0"/>
        <v>4.8227751886793929E-2</v>
      </c>
      <c r="K11" s="18">
        <f t="shared" si="1"/>
        <v>53.61095609285767</v>
      </c>
      <c r="L11" s="18">
        <f t="shared" si="2"/>
        <v>8.4596345455210789E-2</v>
      </c>
    </row>
    <row r="12" spans="2:13" ht="12.95" customHeight="1" outlineLevel="1" x14ac:dyDescent="0.2">
      <c r="B12" s="10" t="s">
        <v>18</v>
      </c>
      <c r="C12" s="69">
        <f>11596476194.5</f>
        <v>11596476194.5</v>
      </c>
      <c r="D12" s="70">
        <f>3365861115.02</f>
        <v>3365861115.02</v>
      </c>
      <c r="E12" s="69">
        <f>80018695.72</f>
        <v>80018695.719999999</v>
      </c>
      <c r="F12" s="69">
        <f>47374209.2</f>
        <v>47374209.200000003</v>
      </c>
      <c r="G12" s="69">
        <f>6433544.23</f>
        <v>6433544.2300000004</v>
      </c>
      <c r="H12" s="69">
        <f>29373960.75</f>
        <v>29373960.75</v>
      </c>
      <c r="I12" s="69">
        <f>55789.77</f>
        <v>55789.77</v>
      </c>
      <c r="J12" s="18">
        <f t="shared" si="0"/>
        <v>11.036680244019582</v>
      </c>
      <c r="K12" s="18">
        <f t="shared" si="1"/>
        <v>29.024861160982397</v>
      </c>
      <c r="L12" s="18">
        <f t="shared" si="2"/>
        <v>19.359451313289245</v>
      </c>
    </row>
    <row r="13" spans="2:13" ht="12.95" customHeight="1" outlineLevel="1" x14ac:dyDescent="0.2">
      <c r="B13" s="10" t="s">
        <v>19</v>
      </c>
      <c r="C13" s="69">
        <f>5693381</f>
        <v>5693381</v>
      </c>
      <c r="D13" s="70">
        <f>2521737.26</f>
        <v>2521737.2599999998</v>
      </c>
      <c r="E13" s="69">
        <f>0</f>
        <v>0</v>
      </c>
      <c r="F13" s="69">
        <f>10831.99</f>
        <v>10831.99</v>
      </c>
      <c r="G13" s="69">
        <f>1681.79</f>
        <v>1681.79</v>
      </c>
      <c r="H13" s="69">
        <f>1962.62</f>
        <v>1962.62</v>
      </c>
      <c r="I13" s="69">
        <f>0</f>
        <v>0</v>
      </c>
      <c r="J13" s="18">
        <f t="shared" si="0"/>
        <v>8.2687926943428545E-3</v>
      </c>
      <c r="K13" s="18">
        <f t="shared" si="1"/>
        <v>44.292438183919181</v>
      </c>
      <c r="L13" s="18">
        <f t="shared" si="2"/>
        <v>1.4504297129796258E-2</v>
      </c>
    </row>
    <row r="14" spans="2:13" ht="12.95" customHeight="1" outlineLevel="1" x14ac:dyDescent="0.2">
      <c r="B14" s="10" t="s">
        <v>20</v>
      </c>
      <c r="C14" s="69">
        <f>397640940.58</f>
        <v>397640940.57999998</v>
      </c>
      <c r="D14" s="70">
        <f>188028001.67</f>
        <v>188028001.66999999</v>
      </c>
      <c r="E14" s="69">
        <f>128910178.89</f>
        <v>128910178.89</v>
      </c>
      <c r="F14" s="69">
        <f>250539.5</f>
        <v>250539.5</v>
      </c>
      <c r="G14" s="69">
        <f>31539.77</f>
        <v>31539.77</v>
      </c>
      <c r="H14" s="69">
        <f>494195.69</f>
        <v>494195.69</v>
      </c>
      <c r="I14" s="69">
        <f>0</f>
        <v>0</v>
      </c>
      <c r="J14" s="18">
        <f t="shared" si="0"/>
        <v>0.6165450267966387</v>
      </c>
      <c r="K14" s="18">
        <f t="shared" si="1"/>
        <v>47.285875894907079</v>
      </c>
      <c r="L14" s="18">
        <f t="shared" si="2"/>
        <v>1.0814822179149255</v>
      </c>
    </row>
    <row r="15" spans="2:13" ht="33.75" outlineLevel="1" x14ac:dyDescent="0.2">
      <c r="B15" s="10" t="s">
        <v>36</v>
      </c>
      <c r="C15" s="69">
        <f>95798163.87</f>
        <v>95798163.870000005</v>
      </c>
      <c r="D15" s="70">
        <f>13613320.9</f>
        <v>13613320.9</v>
      </c>
      <c r="E15" s="69">
        <f>0</f>
        <v>0</v>
      </c>
      <c r="F15" s="69">
        <f>0</f>
        <v>0</v>
      </c>
      <c r="G15" s="69">
        <f>0</f>
        <v>0</v>
      </c>
      <c r="H15" s="69">
        <f>48495.89</f>
        <v>48495.89</v>
      </c>
      <c r="I15" s="69">
        <f>0</f>
        <v>0</v>
      </c>
      <c r="J15" s="18">
        <f t="shared" si="0"/>
        <v>4.4638166786521168E-2</v>
      </c>
      <c r="K15" s="18">
        <f t="shared" si="1"/>
        <v>14.210419438177901</v>
      </c>
      <c r="L15" s="18">
        <f t="shared" si="2"/>
        <v>7.829985081668081E-2</v>
      </c>
    </row>
    <row r="16" spans="2:13" ht="12.95" customHeight="1" outlineLevel="1" x14ac:dyDescent="0.2">
      <c r="B16" s="10" t="s">
        <v>25</v>
      </c>
      <c r="C16" s="69">
        <f>244758813.4</f>
        <v>244758813.40000001</v>
      </c>
      <c r="D16" s="70">
        <f>82019259.74</f>
        <v>82019259.739999995</v>
      </c>
      <c r="E16" s="69">
        <f>0</f>
        <v>0</v>
      </c>
      <c r="F16" s="69">
        <f>0</f>
        <v>0</v>
      </c>
      <c r="G16" s="69">
        <f>397434</f>
        <v>397434</v>
      </c>
      <c r="H16" s="69">
        <f>1840275.01</f>
        <v>1840275.01</v>
      </c>
      <c r="I16" s="69">
        <f>0</f>
        <v>0</v>
      </c>
      <c r="J16" s="18">
        <f t="shared" si="0"/>
        <v>0.26894168020244941</v>
      </c>
      <c r="K16" s="18">
        <f t="shared" si="1"/>
        <v>33.510237527569245</v>
      </c>
      <c r="L16" s="18">
        <f t="shared" si="2"/>
        <v>0.47175085704007713</v>
      </c>
    </row>
    <row r="17" spans="2:12" ht="22.5" customHeight="1" outlineLevel="1" x14ac:dyDescent="0.2">
      <c r="B17" s="10" t="s">
        <v>26</v>
      </c>
      <c r="C17" s="69">
        <f>2004179644.13</f>
        <v>2004179644.1300001</v>
      </c>
      <c r="D17" s="70">
        <f>443506616.9</f>
        <v>443506616.89999998</v>
      </c>
      <c r="E17" s="69">
        <f>0</f>
        <v>0</v>
      </c>
      <c r="F17" s="69">
        <f>0</f>
        <v>0</v>
      </c>
      <c r="G17" s="69">
        <f>56082</f>
        <v>56082</v>
      </c>
      <c r="H17" s="69">
        <f>50734.65</f>
        <v>50734.65</v>
      </c>
      <c r="I17" s="69">
        <f>0</f>
        <v>0</v>
      </c>
      <c r="J17" s="18">
        <f t="shared" si="0"/>
        <v>1.4542610492718164</v>
      </c>
      <c r="K17" s="18">
        <f t="shared" si="1"/>
        <v>22.129084994899397</v>
      </c>
      <c r="L17" s="18">
        <f t="shared" si="2"/>
        <v>2.5509206897106798</v>
      </c>
    </row>
    <row r="18" spans="2:12" ht="12.95" customHeight="1" outlineLevel="1" x14ac:dyDescent="0.2">
      <c r="B18" s="10" t="s">
        <v>50</v>
      </c>
      <c r="C18" s="69">
        <f>396834194</f>
        <v>396834194</v>
      </c>
      <c r="D18" s="70">
        <f>108157871.59</f>
        <v>108157871.59</v>
      </c>
      <c r="E18" s="69">
        <f>0</f>
        <v>0</v>
      </c>
      <c r="F18" s="69">
        <f>0</f>
        <v>0</v>
      </c>
      <c r="G18" s="69">
        <f>598</f>
        <v>598</v>
      </c>
      <c r="H18" s="69">
        <f>0</f>
        <v>0</v>
      </c>
      <c r="I18" s="69">
        <f>0</f>
        <v>0</v>
      </c>
      <c r="J18" s="18">
        <f t="shared" si="0"/>
        <v>0.35465035657166943</v>
      </c>
      <c r="K18" s="18">
        <f t="shared" si="1"/>
        <v>27.255179423877973</v>
      </c>
      <c r="L18" s="18">
        <f t="shared" si="2"/>
        <v>0.62209252777892865</v>
      </c>
    </row>
    <row r="19" spans="2:12" ht="12.95" customHeight="1" outlineLevel="1" x14ac:dyDescent="0.2">
      <c r="B19" s="10" t="s">
        <v>51</v>
      </c>
      <c r="C19" s="69">
        <f>9698000</f>
        <v>9698000</v>
      </c>
      <c r="D19" s="70">
        <f>5022324.52</f>
        <v>5022324.5199999996</v>
      </c>
      <c r="E19" s="69">
        <f>0</f>
        <v>0</v>
      </c>
      <c r="F19" s="69">
        <f>0</f>
        <v>0</v>
      </c>
      <c r="G19" s="69">
        <f>0</f>
        <v>0</v>
      </c>
      <c r="H19" s="69">
        <f>0</f>
        <v>0</v>
      </c>
      <c r="I19" s="69">
        <f>0</f>
        <v>0</v>
      </c>
      <c r="J19" s="18">
        <f t="shared" si="0"/>
        <v>1.6468234402657388E-2</v>
      </c>
      <c r="K19" s="18">
        <f t="shared" si="1"/>
        <v>51.787219220457821</v>
      </c>
      <c r="L19" s="18">
        <f t="shared" si="2"/>
        <v>2.8886945629038836E-2</v>
      </c>
    </row>
    <row r="20" spans="2:12" ht="12.95" customHeight="1" outlineLevel="1" x14ac:dyDescent="0.2">
      <c r="B20" s="10" t="s">
        <v>52</v>
      </c>
      <c r="C20" s="69">
        <f>14151500</f>
        <v>14151500</v>
      </c>
      <c r="D20" s="70">
        <f>2124904.85</f>
        <v>2124904.85</v>
      </c>
      <c r="E20" s="69">
        <f>0</f>
        <v>0</v>
      </c>
      <c r="F20" s="69">
        <f>0</f>
        <v>0</v>
      </c>
      <c r="G20" s="69">
        <f>600</f>
        <v>600</v>
      </c>
      <c r="H20" s="69">
        <f>0</f>
        <v>0</v>
      </c>
      <c r="I20" s="69">
        <f>0</f>
        <v>0</v>
      </c>
      <c r="J20" s="18">
        <f t="shared" si="0"/>
        <v>6.9675766696859209E-3</v>
      </c>
      <c r="K20" s="18">
        <f t="shared" si="1"/>
        <v>15.015403667455747</v>
      </c>
      <c r="L20" s="18">
        <f t="shared" si="2"/>
        <v>1.2221832863327384E-2</v>
      </c>
    </row>
    <row r="21" spans="2:12" ht="12.95" customHeight="1" outlineLevel="1" x14ac:dyDescent="0.2">
      <c r="B21" s="10" t="s">
        <v>21</v>
      </c>
      <c r="C21" s="69">
        <f>5383001024.67</f>
        <v>5383001024.6700001</v>
      </c>
      <c r="D21" s="70">
        <f>1135792670.32</f>
        <v>1135792670.3199999</v>
      </c>
      <c r="E21" s="69">
        <f>0</f>
        <v>0</v>
      </c>
      <c r="F21" s="69">
        <f>0</f>
        <v>0</v>
      </c>
      <c r="G21" s="69">
        <f>0</f>
        <v>0</v>
      </c>
      <c r="H21" s="69">
        <f>0</f>
        <v>0</v>
      </c>
      <c r="I21" s="69">
        <f>0</f>
        <v>0</v>
      </c>
      <c r="J21" s="18">
        <f t="shared" si="0"/>
        <v>3.7242714709422895</v>
      </c>
      <c r="K21" s="18">
        <f t="shared" si="1"/>
        <v>21.099618319125785</v>
      </c>
      <c r="L21" s="18">
        <f t="shared" si="2"/>
        <v>6.5327481294248733</v>
      </c>
    </row>
    <row r="22" spans="2:12" ht="12.95" customHeight="1" outlineLevel="1" x14ac:dyDescent="0.2">
      <c r="B22" s="10" t="s">
        <v>22</v>
      </c>
      <c r="C22" s="69">
        <f>C6-SUM(C7:C21)</f>
        <v>18290620401.040001</v>
      </c>
      <c r="D22" s="69">
        <f t="shared" ref="D22:I22" si="3">D6-SUM(D7:D21)</f>
        <v>5115218842.2999992</v>
      </c>
      <c r="E22" s="69">
        <f t="shared" si="3"/>
        <v>1183241.4799999893</v>
      </c>
      <c r="F22" s="69">
        <f t="shared" si="3"/>
        <v>1632.9999999925494</v>
      </c>
      <c r="G22" s="69">
        <f t="shared" si="3"/>
        <v>520051.14999999944</v>
      </c>
      <c r="H22" s="69">
        <f t="shared" si="3"/>
        <v>3130960.7699999958</v>
      </c>
      <c r="I22" s="69">
        <f t="shared" si="3"/>
        <v>16293.610000000008</v>
      </c>
      <c r="J22" s="18">
        <f t="shared" si="0"/>
        <v>16.77283548293812</v>
      </c>
      <c r="K22" s="18">
        <f t="shared" si="1"/>
        <v>27.966349583249507</v>
      </c>
      <c r="L22" s="18">
        <f t="shared" si="2"/>
        <v>29.421246673672748</v>
      </c>
    </row>
    <row r="23" spans="2:12" ht="26.25" customHeight="1" x14ac:dyDescent="0.2">
      <c r="B23" s="88" t="s">
        <v>106</v>
      </c>
      <c r="C23" s="67">
        <f>C24+C56+C58</f>
        <v>16719235709.76</v>
      </c>
      <c r="D23" s="67">
        <f>D24+D56+D58</f>
        <v>4041700026.4900002</v>
      </c>
      <c r="E23" s="20" t="s">
        <v>56</v>
      </c>
      <c r="F23" s="20" t="s">
        <v>56</v>
      </c>
      <c r="G23" s="20" t="s">
        <v>56</v>
      </c>
      <c r="H23" s="20" t="s">
        <v>56</v>
      </c>
      <c r="I23" s="20" t="s">
        <v>56</v>
      </c>
      <c r="J23" s="16">
        <f t="shared" si="0"/>
        <v>13.252760381454584</v>
      </c>
      <c r="K23" s="16">
        <f t="shared" si="1"/>
        <v>24.173952067262395</v>
      </c>
      <c r="L23" s="21"/>
    </row>
    <row r="24" spans="2:12" ht="25.5" customHeight="1" outlineLevel="1" x14ac:dyDescent="0.2">
      <c r="B24" s="90" t="s">
        <v>62</v>
      </c>
      <c r="C24" s="67">
        <f>C25+C32+C39</f>
        <v>11089759759.789999</v>
      </c>
      <c r="D24" s="67">
        <f>D25+D32+D39</f>
        <v>3171087562.9700003</v>
      </c>
      <c r="E24" s="20" t="s">
        <v>56</v>
      </c>
      <c r="F24" s="20" t="s">
        <v>56</v>
      </c>
      <c r="G24" s="20" t="s">
        <v>56</v>
      </c>
      <c r="H24" s="20" t="s">
        <v>56</v>
      </c>
      <c r="I24" s="20" t="s">
        <v>56</v>
      </c>
      <c r="J24" s="16">
        <f t="shared" si="0"/>
        <v>10.398016514142249</v>
      </c>
      <c r="K24" s="16">
        <f t="shared" si="1"/>
        <v>28.594736330248953</v>
      </c>
      <c r="L24" s="22"/>
    </row>
    <row r="25" spans="2:12" ht="13.5" customHeight="1" outlineLevel="1" x14ac:dyDescent="0.2">
      <c r="B25" s="91" t="s">
        <v>53</v>
      </c>
      <c r="C25" s="67">
        <f>C26+C28+C30</f>
        <v>5316724961.9699993</v>
      </c>
      <c r="D25" s="67">
        <f>D26+D28+D30</f>
        <v>1345445102.1100001</v>
      </c>
      <c r="E25" s="20" t="s">
        <v>56</v>
      </c>
      <c r="F25" s="20" t="s">
        <v>56</v>
      </c>
      <c r="G25" s="20" t="s">
        <v>56</v>
      </c>
      <c r="H25" s="20" t="s">
        <v>56</v>
      </c>
      <c r="I25" s="20" t="s">
        <v>56</v>
      </c>
      <c r="J25" s="16">
        <f t="shared" si="0"/>
        <v>4.4117231431820718</v>
      </c>
      <c r="K25" s="16">
        <f t="shared" si="1"/>
        <v>25.30589999922573</v>
      </c>
      <c r="L25" s="22"/>
    </row>
    <row r="26" spans="2:12" ht="22.5" customHeight="1" outlineLevel="1" x14ac:dyDescent="0.2">
      <c r="B26" s="93" t="s">
        <v>112</v>
      </c>
      <c r="C26" s="68">
        <f>3759478221.31</f>
        <v>3759478221.3099999</v>
      </c>
      <c r="D26" s="71">
        <f>1027935757.89</f>
        <v>1027935757.89</v>
      </c>
      <c r="E26" s="17" t="s">
        <v>56</v>
      </c>
      <c r="F26" s="17" t="s">
        <v>56</v>
      </c>
      <c r="G26" s="17" t="s">
        <v>56</v>
      </c>
      <c r="H26" s="17" t="s">
        <v>56</v>
      </c>
      <c r="I26" s="17" t="s">
        <v>56</v>
      </c>
      <c r="J26" s="18">
        <f t="shared" si="0"/>
        <v>3.3706079613919089</v>
      </c>
      <c r="K26" s="18">
        <f t="shared" si="1"/>
        <v>27.342511310833267</v>
      </c>
      <c r="L26" s="22"/>
    </row>
    <row r="27" spans="2:12" ht="12.95" customHeight="1" outlineLevel="1" x14ac:dyDescent="0.2">
      <c r="B27" s="95" t="s">
        <v>6</v>
      </c>
      <c r="C27" s="69">
        <f>0</f>
        <v>0</v>
      </c>
      <c r="D27" s="69">
        <f>0</f>
        <v>0</v>
      </c>
      <c r="E27" s="19" t="s">
        <v>56</v>
      </c>
      <c r="F27" s="19" t="s">
        <v>56</v>
      </c>
      <c r="G27" s="19" t="s">
        <v>56</v>
      </c>
      <c r="H27" s="19" t="s">
        <v>56</v>
      </c>
      <c r="I27" s="19" t="s">
        <v>56</v>
      </c>
      <c r="J27" s="18">
        <f t="shared" si="0"/>
        <v>0</v>
      </c>
      <c r="K27" s="18" t="str">
        <f t="shared" si="1"/>
        <v/>
      </c>
      <c r="L27" s="22"/>
    </row>
    <row r="28" spans="2:12" ht="13.5" customHeight="1" outlineLevel="1" x14ac:dyDescent="0.2">
      <c r="B28" s="93" t="s">
        <v>113</v>
      </c>
      <c r="C28" s="69">
        <f>1546169090.92</f>
        <v>1546169090.9200001</v>
      </c>
      <c r="D28" s="70">
        <f>313490680.22</f>
        <v>313490680.22000003</v>
      </c>
      <c r="E28" s="19" t="s">
        <v>56</v>
      </c>
      <c r="F28" s="19" t="s">
        <v>56</v>
      </c>
      <c r="G28" s="19" t="s">
        <v>56</v>
      </c>
      <c r="H28" s="19" t="s">
        <v>56</v>
      </c>
      <c r="I28" s="19" t="s">
        <v>56</v>
      </c>
      <c r="J28" s="18">
        <f t="shared" si="0"/>
        <v>1.0279379566877274</v>
      </c>
      <c r="K28" s="18">
        <f t="shared" si="1"/>
        <v>20.275316720596653</v>
      </c>
      <c r="L28" s="22"/>
    </row>
    <row r="29" spans="2:12" ht="12.95" customHeight="1" outlineLevel="1" x14ac:dyDescent="0.2">
      <c r="B29" s="95" t="s">
        <v>6</v>
      </c>
      <c r="C29" s="69">
        <f>302093636.92</f>
        <v>302093636.92000002</v>
      </c>
      <c r="D29" s="69">
        <f>46885132.75</f>
        <v>46885132.75</v>
      </c>
      <c r="E29" s="19" t="s">
        <v>56</v>
      </c>
      <c r="F29" s="19" t="s">
        <v>56</v>
      </c>
      <c r="G29" s="19" t="s">
        <v>56</v>
      </c>
      <c r="H29" s="19" t="s">
        <v>56</v>
      </c>
      <c r="I29" s="19" t="s">
        <v>56</v>
      </c>
      <c r="J29" s="18">
        <f t="shared" si="0"/>
        <v>0.1537366518336232</v>
      </c>
      <c r="K29" s="18">
        <f t="shared" si="1"/>
        <v>15.520066303950669</v>
      </c>
      <c r="L29" s="22"/>
    </row>
    <row r="30" spans="2:12" ht="33.75" outlineLevel="1" x14ac:dyDescent="0.2">
      <c r="B30" s="93" t="s">
        <v>8</v>
      </c>
      <c r="C30" s="69">
        <f>11077649.74</f>
        <v>11077649.74</v>
      </c>
      <c r="D30" s="70">
        <f>4018664</f>
        <v>4018664</v>
      </c>
      <c r="E30" s="19" t="s">
        <v>56</v>
      </c>
      <c r="F30" s="19" t="s">
        <v>56</v>
      </c>
      <c r="G30" s="19" t="s">
        <v>56</v>
      </c>
      <c r="H30" s="19" t="s">
        <v>56</v>
      </c>
      <c r="I30" s="19" t="s">
        <v>56</v>
      </c>
      <c r="J30" s="18">
        <f t="shared" si="0"/>
        <v>1.3177225102435387E-2</v>
      </c>
      <c r="K30" s="18">
        <f t="shared" si="1"/>
        <v>36.277225714125166</v>
      </c>
      <c r="L30" s="22"/>
    </row>
    <row r="31" spans="2:12" ht="12.95" customHeight="1" outlineLevel="1" x14ac:dyDescent="0.2">
      <c r="B31" s="95" t="s">
        <v>6</v>
      </c>
      <c r="C31" s="69">
        <f>1536056.67</f>
        <v>1536056.67</v>
      </c>
      <c r="D31" s="69">
        <f>700655.84</f>
        <v>700655.84</v>
      </c>
      <c r="E31" s="19" t="s">
        <v>56</v>
      </c>
      <c r="F31" s="19" t="s">
        <v>56</v>
      </c>
      <c r="G31" s="19" t="s">
        <v>56</v>
      </c>
      <c r="H31" s="19" t="s">
        <v>56</v>
      </c>
      <c r="I31" s="19" t="s">
        <v>56</v>
      </c>
      <c r="J31" s="18">
        <f t="shared" si="0"/>
        <v>2.2974550056974043E-3</v>
      </c>
      <c r="K31" s="18">
        <f t="shared" si="1"/>
        <v>45.613931678705583</v>
      </c>
      <c r="L31" s="22"/>
    </row>
    <row r="32" spans="2:12" ht="13.5" customHeight="1" outlineLevel="1" x14ac:dyDescent="0.2">
      <c r="B32" s="92" t="s">
        <v>54</v>
      </c>
      <c r="C32" s="67">
        <f>C33+C35+C37</f>
        <v>2060794381.1399999</v>
      </c>
      <c r="D32" s="67">
        <f>D33+D35+D37</f>
        <v>720531090.94000006</v>
      </c>
      <c r="E32" s="20" t="s">
        <v>56</v>
      </c>
      <c r="F32" s="20" t="s">
        <v>56</v>
      </c>
      <c r="G32" s="20" t="s">
        <v>56</v>
      </c>
      <c r="H32" s="20" t="s">
        <v>56</v>
      </c>
      <c r="I32" s="20" t="s">
        <v>56</v>
      </c>
      <c r="J32" s="16">
        <f t="shared" si="0"/>
        <v>2.3626260813593083</v>
      </c>
      <c r="K32" s="16">
        <f t="shared" si="1"/>
        <v>34.963754634337327</v>
      </c>
      <c r="L32" s="22"/>
    </row>
    <row r="33" spans="2:12" ht="22.5" outlineLevel="1" x14ac:dyDescent="0.2">
      <c r="B33" s="93" t="s">
        <v>112</v>
      </c>
      <c r="C33" s="69">
        <f>1824789920.58</f>
        <v>1824789920.5799999</v>
      </c>
      <c r="D33" s="69">
        <f>670305819.65</f>
        <v>670305819.64999998</v>
      </c>
      <c r="E33" s="19" t="s">
        <v>56</v>
      </c>
      <c r="F33" s="19" t="s">
        <v>56</v>
      </c>
      <c r="G33" s="19" t="s">
        <v>56</v>
      </c>
      <c r="H33" s="19" t="s">
        <v>56</v>
      </c>
      <c r="I33" s="19" t="s">
        <v>56</v>
      </c>
      <c r="J33" s="18">
        <f t="shared" si="0"/>
        <v>2.1979370937705935</v>
      </c>
      <c r="K33" s="18">
        <f t="shared" si="1"/>
        <v>36.733314453915156</v>
      </c>
      <c r="L33" s="22"/>
    </row>
    <row r="34" spans="2:12" ht="12.95" customHeight="1" outlineLevel="1" x14ac:dyDescent="0.2">
      <c r="B34" s="95" t="s">
        <v>6</v>
      </c>
      <c r="C34" s="69">
        <f>62932400</f>
        <v>62932400</v>
      </c>
      <c r="D34" s="70">
        <f>7843873.28</f>
        <v>7843873.2800000003</v>
      </c>
      <c r="E34" s="19" t="s">
        <v>56</v>
      </c>
      <c r="F34" s="19" t="s">
        <v>56</v>
      </c>
      <c r="G34" s="19" t="s">
        <v>56</v>
      </c>
      <c r="H34" s="19" t="s">
        <v>56</v>
      </c>
      <c r="I34" s="19" t="s">
        <v>56</v>
      </c>
      <c r="J34" s="18">
        <f t="shared" si="0"/>
        <v>2.5720110933767592E-2</v>
      </c>
      <c r="K34" s="18">
        <f t="shared" si="1"/>
        <v>12.46396654187668</v>
      </c>
      <c r="L34" s="22"/>
    </row>
    <row r="35" spans="2:12" ht="12.95" customHeight="1" outlineLevel="1" x14ac:dyDescent="0.2">
      <c r="B35" s="93" t="s">
        <v>113</v>
      </c>
      <c r="C35" s="69">
        <f>182305329</f>
        <v>182305329</v>
      </c>
      <c r="D35" s="69">
        <f>46078548.46</f>
        <v>46078548.460000001</v>
      </c>
      <c r="E35" s="19" t="s">
        <v>56</v>
      </c>
      <c r="F35" s="19" t="s">
        <v>56</v>
      </c>
      <c r="G35" s="19" t="s">
        <v>56</v>
      </c>
      <c r="H35" s="19" t="s">
        <v>56</v>
      </c>
      <c r="I35" s="19" t="s">
        <v>56</v>
      </c>
      <c r="J35" s="18">
        <f t="shared" si="0"/>
        <v>0.15109185675908648</v>
      </c>
      <c r="K35" s="18">
        <f t="shared" si="1"/>
        <v>25.275480817129598</v>
      </c>
      <c r="L35" s="22"/>
    </row>
    <row r="36" spans="2:12" ht="12.95" customHeight="1" outlineLevel="1" x14ac:dyDescent="0.2">
      <c r="B36" s="95" t="s">
        <v>6</v>
      </c>
      <c r="C36" s="69">
        <f>37076385</f>
        <v>37076385</v>
      </c>
      <c r="D36" s="70">
        <f>8325309.85</f>
        <v>8325309.8499999996</v>
      </c>
      <c r="E36" s="19" t="s">
        <v>56</v>
      </c>
      <c r="F36" s="19" t="s">
        <v>56</v>
      </c>
      <c r="G36" s="19" t="s">
        <v>56</v>
      </c>
      <c r="H36" s="19" t="s">
        <v>56</v>
      </c>
      <c r="I36" s="19" t="s">
        <v>56</v>
      </c>
      <c r="J36" s="18">
        <f t="shared" si="0"/>
        <v>2.7298744543204558E-2</v>
      </c>
      <c r="K36" s="18">
        <f t="shared" si="1"/>
        <v>22.454481066587263</v>
      </c>
      <c r="L36" s="22"/>
    </row>
    <row r="37" spans="2:12" ht="33.75" outlineLevel="1" x14ac:dyDescent="0.2">
      <c r="B37" s="93" t="s">
        <v>8</v>
      </c>
      <c r="C37" s="69">
        <f>53699131.56</f>
        <v>53699131.560000002</v>
      </c>
      <c r="D37" s="69">
        <f>4146722.83</f>
        <v>4146722.83</v>
      </c>
      <c r="E37" s="19" t="s">
        <v>56</v>
      </c>
      <c r="F37" s="19" t="s">
        <v>56</v>
      </c>
      <c r="G37" s="19" t="s">
        <v>56</v>
      </c>
      <c r="H37" s="19" t="s">
        <v>56</v>
      </c>
      <c r="I37" s="19" t="s">
        <v>56</v>
      </c>
      <c r="J37" s="18">
        <f t="shared" si="0"/>
        <v>1.3597130829628433E-2</v>
      </c>
      <c r="K37" s="18">
        <f t="shared" si="1"/>
        <v>7.7221413261901919</v>
      </c>
      <c r="L37" s="22"/>
    </row>
    <row r="38" spans="2:12" ht="12.95" customHeight="1" outlineLevel="1" x14ac:dyDescent="0.2">
      <c r="B38" s="95" t="s">
        <v>6</v>
      </c>
      <c r="C38" s="69">
        <f>0</f>
        <v>0</v>
      </c>
      <c r="D38" s="70">
        <f>0</f>
        <v>0</v>
      </c>
      <c r="E38" s="19" t="s">
        <v>56</v>
      </c>
      <c r="F38" s="19" t="s">
        <v>56</v>
      </c>
      <c r="G38" s="19" t="s">
        <v>56</v>
      </c>
      <c r="H38" s="19" t="s">
        <v>56</v>
      </c>
      <c r="I38" s="19" t="s">
        <v>56</v>
      </c>
      <c r="J38" s="18">
        <f t="shared" si="0"/>
        <v>0</v>
      </c>
      <c r="K38" s="18" t="str">
        <f t="shared" si="1"/>
        <v/>
      </c>
      <c r="L38" s="22"/>
    </row>
    <row r="39" spans="2:12" ht="13.5" customHeight="1" outlineLevel="1" x14ac:dyDescent="0.2">
      <c r="B39" s="91" t="s">
        <v>55</v>
      </c>
      <c r="C39" s="67">
        <f>C40+C42+C44+C48+C50+C46+C52+C54</f>
        <v>3712240416.6800003</v>
      </c>
      <c r="D39" s="67">
        <f>D40+D42+D44+D48+D50+D46+D52+D54</f>
        <v>1105111369.9200001</v>
      </c>
      <c r="E39" s="20" t="s">
        <v>56</v>
      </c>
      <c r="F39" s="20" t="s">
        <v>56</v>
      </c>
      <c r="G39" s="20" t="s">
        <v>56</v>
      </c>
      <c r="H39" s="20" t="s">
        <v>56</v>
      </c>
      <c r="I39" s="20" t="s">
        <v>56</v>
      </c>
      <c r="J39" s="16">
        <f t="shared" si="0"/>
        <v>3.6236672896008684</v>
      </c>
      <c r="K39" s="16">
        <f t="shared" si="1"/>
        <v>29.769391145963109</v>
      </c>
      <c r="L39" s="22"/>
    </row>
    <row r="40" spans="2:12" ht="33.75" outlineLevel="1" x14ac:dyDescent="0.2">
      <c r="B40" s="93" t="s">
        <v>117</v>
      </c>
      <c r="C40" s="68">
        <f>0</f>
        <v>0</v>
      </c>
      <c r="D40" s="71">
        <f>0</f>
        <v>0</v>
      </c>
      <c r="E40" s="19" t="s">
        <v>56</v>
      </c>
      <c r="F40" s="19" t="s">
        <v>56</v>
      </c>
      <c r="G40" s="19" t="s">
        <v>56</v>
      </c>
      <c r="H40" s="19" t="s">
        <v>56</v>
      </c>
      <c r="I40" s="19" t="s">
        <v>56</v>
      </c>
      <c r="J40" s="18">
        <f t="shared" si="0"/>
        <v>0</v>
      </c>
      <c r="K40" s="18" t="str">
        <f t="shared" si="1"/>
        <v/>
      </c>
      <c r="L40" s="22"/>
    </row>
    <row r="41" spans="2:12" ht="13.5" customHeight="1" outlineLevel="1" x14ac:dyDescent="0.2">
      <c r="B41" s="95" t="s">
        <v>6</v>
      </c>
      <c r="C41" s="68">
        <f>0</f>
        <v>0</v>
      </c>
      <c r="D41" s="71">
        <f>0</f>
        <v>0</v>
      </c>
      <c r="E41" s="19" t="s">
        <v>56</v>
      </c>
      <c r="F41" s="19" t="s">
        <v>56</v>
      </c>
      <c r="G41" s="19" t="s">
        <v>56</v>
      </c>
      <c r="H41" s="19" t="s">
        <v>56</v>
      </c>
      <c r="I41" s="19" t="s">
        <v>56</v>
      </c>
      <c r="J41" s="18">
        <f t="shared" si="0"/>
        <v>0</v>
      </c>
      <c r="K41" s="18" t="str">
        <f t="shared" si="1"/>
        <v/>
      </c>
      <c r="L41" s="22"/>
    </row>
    <row r="42" spans="2:12" ht="22.5" outlineLevel="1" x14ac:dyDescent="0.2">
      <c r="B42" s="93" t="s">
        <v>118</v>
      </c>
      <c r="C42" s="68">
        <f>0</f>
        <v>0</v>
      </c>
      <c r="D42" s="71">
        <f>0</f>
        <v>0</v>
      </c>
      <c r="E42" s="19" t="s">
        <v>56</v>
      </c>
      <c r="F42" s="19" t="s">
        <v>56</v>
      </c>
      <c r="G42" s="19" t="s">
        <v>56</v>
      </c>
      <c r="H42" s="19" t="s">
        <v>56</v>
      </c>
      <c r="I42" s="19" t="s">
        <v>56</v>
      </c>
      <c r="J42" s="18">
        <f t="shared" si="0"/>
        <v>0</v>
      </c>
      <c r="K42" s="18" t="str">
        <f t="shared" si="1"/>
        <v/>
      </c>
      <c r="L42" s="22"/>
    </row>
    <row r="43" spans="2:12" ht="13.5" customHeight="1" outlineLevel="1" x14ac:dyDescent="0.2">
      <c r="B43" s="95" t="s">
        <v>6</v>
      </c>
      <c r="C43" s="68">
        <f>0</f>
        <v>0</v>
      </c>
      <c r="D43" s="71">
        <f>0</f>
        <v>0</v>
      </c>
      <c r="E43" s="19" t="s">
        <v>56</v>
      </c>
      <c r="F43" s="19" t="s">
        <v>56</v>
      </c>
      <c r="G43" s="19" t="s">
        <v>56</v>
      </c>
      <c r="H43" s="19" t="s">
        <v>56</v>
      </c>
      <c r="I43" s="19" t="s">
        <v>56</v>
      </c>
      <c r="J43" s="18">
        <f t="shared" si="0"/>
        <v>0</v>
      </c>
      <c r="K43" s="18" t="str">
        <f t="shared" si="1"/>
        <v/>
      </c>
      <c r="L43" s="22"/>
    </row>
    <row r="44" spans="2:12" ht="22.5" outlineLevel="1" x14ac:dyDescent="0.2">
      <c r="B44" s="93" t="s">
        <v>9</v>
      </c>
      <c r="C44" s="68">
        <f>649844174.16</f>
        <v>649844174.15999997</v>
      </c>
      <c r="D44" s="71">
        <f>152845963.75</f>
        <v>152845963.75</v>
      </c>
      <c r="E44" s="17" t="s">
        <v>56</v>
      </c>
      <c r="F44" s="17" t="s">
        <v>56</v>
      </c>
      <c r="G44" s="17" t="s">
        <v>56</v>
      </c>
      <c r="H44" s="17" t="s">
        <v>56</v>
      </c>
      <c r="I44" s="17" t="s">
        <v>56</v>
      </c>
      <c r="J44" s="18">
        <f t="shared" si="0"/>
        <v>0.50118289818019857</v>
      </c>
      <c r="K44" s="18">
        <f t="shared" si="1"/>
        <v>23.520402248365368</v>
      </c>
      <c r="L44" s="22"/>
    </row>
    <row r="45" spans="2:12" ht="12.95" customHeight="1" outlineLevel="1" x14ac:dyDescent="0.2">
      <c r="B45" s="95" t="s">
        <v>6</v>
      </c>
      <c r="C45" s="69">
        <f>9823863.83</f>
        <v>9823863.8300000001</v>
      </c>
      <c r="D45" s="69">
        <f>5173081.55</f>
        <v>5173081.55</v>
      </c>
      <c r="E45" s="19" t="s">
        <v>56</v>
      </c>
      <c r="F45" s="19" t="s">
        <v>56</v>
      </c>
      <c r="G45" s="19" t="s">
        <v>56</v>
      </c>
      <c r="H45" s="19" t="s">
        <v>56</v>
      </c>
      <c r="I45" s="19" t="s">
        <v>56</v>
      </c>
      <c r="J45" s="18">
        <f t="shared" si="0"/>
        <v>1.6962567673636155E-2</v>
      </c>
      <c r="K45" s="18">
        <f t="shared" si="1"/>
        <v>52.658318962061593</v>
      </c>
      <c r="L45" s="22"/>
    </row>
    <row r="46" spans="2:12" ht="33.75" outlineLevel="1" x14ac:dyDescent="0.2">
      <c r="B46" s="93" t="s">
        <v>79</v>
      </c>
      <c r="C46" s="69">
        <f>170211216</f>
        <v>170211216</v>
      </c>
      <c r="D46" s="69">
        <f>45024281.46</f>
        <v>45024281.460000001</v>
      </c>
      <c r="E46" s="19" t="s">
        <v>56</v>
      </c>
      <c r="F46" s="19" t="s">
        <v>56</v>
      </c>
      <c r="G46" s="19" t="s">
        <v>56</v>
      </c>
      <c r="H46" s="19" t="s">
        <v>56</v>
      </c>
      <c r="I46" s="19" t="s">
        <v>56</v>
      </c>
      <c r="J46" s="18">
        <f>IF($D$5=0,"",100*$D46/$D$5)</f>
        <v>0.1476349084854639</v>
      </c>
      <c r="K46" s="18">
        <f>IF(C46=0,"",100*D46/C46)</f>
        <v>26.452006229718727</v>
      </c>
      <c r="L46" s="22"/>
    </row>
    <row r="47" spans="2:12" ht="12.95" customHeight="1" outlineLevel="1" x14ac:dyDescent="0.2">
      <c r="B47" s="95" t="s">
        <v>6</v>
      </c>
      <c r="C47" s="69">
        <f>156936107</f>
        <v>156936107</v>
      </c>
      <c r="D47" s="69">
        <f>41430589.46</f>
        <v>41430589.460000001</v>
      </c>
      <c r="E47" s="19" t="s">
        <v>56</v>
      </c>
      <c r="F47" s="19" t="s">
        <v>56</v>
      </c>
      <c r="G47" s="19" t="s">
        <v>56</v>
      </c>
      <c r="H47" s="19" t="s">
        <v>56</v>
      </c>
      <c r="I47" s="19" t="s">
        <v>56</v>
      </c>
      <c r="J47" s="18">
        <f>IF($D$5=0,"",100*$D47/$D$5)</f>
        <v>0.13585116930427799</v>
      </c>
      <c r="K47" s="18">
        <f>IF(C47=0,"",100*D47/C47)</f>
        <v>26.399654134405157</v>
      </c>
      <c r="L47" s="22"/>
    </row>
    <row r="48" spans="2:12" ht="12.95" customHeight="1" outlineLevel="1" x14ac:dyDescent="0.2">
      <c r="B48" s="93" t="s">
        <v>7</v>
      </c>
      <c r="C48" s="69">
        <f>176901920.21</f>
        <v>176901920.21000001</v>
      </c>
      <c r="D48" s="70">
        <f>56260929.87</f>
        <v>56260929.869999997</v>
      </c>
      <c r="E48" s="19" t="s">
        <v>56</v>
      </c>
      <c r="F48" s="19" t="s">
        <v>56</v>
      </c>
      <c r="G48" s="19" t="s">
        <v>56</v>
      </c>
      <c r="H48" s="19" t="s">
        <v>56</v>
      </c>
      <c r="I48" s="19" t="s">
        <v>56</v>
      </c>
      <c r="J48" s="18">
        <f t="shared" si="0"/>
        <v>0.18447995089147062</v>
      </c>
      <c r="K48" s="18">
        <f t="shared" si="1"/>
        <v>31.803459116335613</v>
      </c>
      <c r="L48" s="22"/>
    </row>
    <row r="49" spans="2:12" ht="12.95" customHeight="1" outlineLevel="1" x14ac:dyDescent="0.2">
      <c r="B49" s="95" t="s">
        <v>6</v>
      </c>
      <c r="C49" s="69">
        <f>164854940.08</f>
        <v>164854940.08000001</v>
      </c>
      <c r="D49" s="69">
        <f>53327222.65</f>
        <v>53327222.649999999</v>
      </c>
      <c r="E49" s="19" t="s">
        <v>56</v>
      </c>
      <c r="F49" s="19" t="s">
        <v>56</v>
      </c>
      <c r="G49" s="19" t="s">
        <v>56</v>
      </c>
      <c r="H49" s="19" t="s">
        <v>56</v>
      </c>
      <c r="I49" s="19" t="s">
        <v>56</v>
      </c>
      <c r="J49" s="18">
        <f t="shared" si="0"/>
        <v>0.17486030604866218</v>
      </c>
      <c r="K49" s="18">
        <f t="shared" si="1"/>
        <v>32.347967627856114</v>
      </c>
      <c r="L49" s="22"/>
    </row>
    <row r="50" spans="2:12" ht="67.5" outlineLevel="1" x14ac:dyDescent="0.2">
      <c r="B50" s="93" t="s">
        <v>100</v>
      </c>
      <c r="C50" s="69">
        <f>585500</f>
        <v>585500</v>
      </c>
      <c r="D50" s="69">
        <f>0</f>
        <v>0</v>
      </c>
      <c r="E50" s="19" t="s">
        <v>56</v>
      </c>
      <c r="F50" s="19" t="s">
        <v>56</v>
      </c>
      <c r="G50" s="19" t="s">
        <v>56</v>
      </c>
      <c r="H50" s="19" t="s">
        <v>56</v>
      </c>
      <c r="I50" s="19" t="s">
        <v>56</v>
      </c>
      <c r="J50" s="18">
        <f t="shared" si="0"/>
        <v>0</v>
      </c>
      <c r="K50" s="18">
        <f>IF(C50=0,"",100*D50/C50)</f>
        <v>0</v>
      </c>
      <c r="L50" s="22"/>
    </row>
    <row r="51" spans="2:12" ht="12.95" customHeight="1" outlineLevel="1" x14ac:dyDescent="0.2">
      <c r="B51" s="95" t="s">
        <v>99</v>
      </c>
      <c r="C51" s="69">
        <f>585500</f>
        <v>585500</v>
      </c>
      <c r="D51" s="69">
        <f>0</f>
        <v>0</v>
      </c>
      <c r="E51" s="19" t="s">
        <v>56</v>
      </c>
      <c r="F51" s="19" t="s">
        <v>56</v>
      </c>
      <c r="G51" s="19" t="s">
        <v>56</v>
      </c>
      <c r="H51" s="19" t="s">
        <v>56</v>
      </c>
      <c r="I51" s="19" t="s">
        <v>56</v>
      </c>
      <c r="J51" s="18">
        <f t="shared" si="0"/>
        <v>0</v>
      </c>
      <c r="K51" s="18">
        <f>IF(C51=0,"",100*D51/C51)</f>
        <v>0</v>
      </c>
      <c r="L51" s="22"/>
    </row>
    <row r="52" spans="2:12" ht="45" outlineLevel="1" x14ac:dyDescent="0.2">
      <c r="B52" s="94" t="s">
        <v>98</v>
      </c>
      <c r="C52" s="72">
        <f>1975868853.51</f>
        <v>1975868853.51</v>
      </c>
      <c r="D52" s="72">
        <f>196432103.03</f>
        <v>196432103.03</v>
      </c>
      <c r="E52" s="24" t="s">
        <v>56</v>
      </c>
      <c r="F52" s="24" t="s">
        <v>56</v>
      </c>
      <c r="G52" s="24" t="s">
        <v>56</v>
      </c>
      <c r="H52" s="24" t="s">
        <v>56</v>
      </c>
      <c r="I52" s="24" t="s">
        <v>56</v>
      </c>
      <c r="J52" s="25">
        <f>IF($D$5=0,"",100*$D52/$D$5)</f>
        <v>0.64410212920788856</v>
      </c>
      <c r="K52" s="25">
        <f>IF(C52=0,"",100*D52/C52)</f>
        <v>9.9415557202114595</v>
      </c>
      <c r="L52" s="22"/>
    </row>
    <row r="53" spans="2:12" ht="12.95" customHeight="1" outlineLevel="1" x14ac:dyDescent="0.2">
      <c r="B53" s="95" t="s">
        <v>99</v>
      </c>
      <c r="C53" s="69">
        <f>1757145079.77</f>
        <v>1757145079.77</v>
      </c>
      <c r="D53" s="69">
        <f>68931908.3</f>
        <v>68931908.299999997</v>
      </c>
      <c r="E53" s="19" t="s">
        <v>56</v>
      </c>
      <c r="F53" s="19" t="s">
        <v>56</v>
      </c>
      <c r="G53" s="19" t="s">
        <v>56</v>
      </c>
      <c r="H53" s="19" t="s">
        <v>56</v>
      </c>
      <c r="I53" s="19" t="s">
        <v>56</v>
      </c>
      <c r="J53" s="18">
        <f t="shared" si="0"/>
        <v>0.22602817065809291</v>
      </c>
      <c r="K53" s="18">
        <f t="shared" ref="K53:K69" si="4">IF(C53=0,"",100*D53/C53)</f>
        <v>3.9229491687176328</v>
      </c>
      <c r="L53" s="22"/>
    </row>
    <row r="54" spans="2:12" ht="22.5" outlineLevel="1" x14ac:dyDescent="0.2">
      <c r="B54" s="94" t="s">
        <v>114</v>
      </c>
      <c r="C54" s="69">
        <f>738828752.8</f>
        <v>738828752.79999995</v>
      </c>
      <c r="D54" s="69">
        <f>654548091.81</f>
        <v>654548091.80999994</v>
      </c>
      <c r="E54" s="19" t="s">
        <v>56</v>
      </c>
      <c r="F54" s="19" t="s">
        <v>56</v>
      </c>
      <c r="G54" s="19" t="s">
        <v>56</v>
      </c>
      <c r="H54" s="19" t="s">
        <v>56</v>
      </c>
      <c r="I54" s="19" t="s">
        <v>56</v>
      </c>
      <c r="J54" s="18">
        <f t="shared" si="0"/>
        <v>2.1462674028358464</v>
      </c>
      <c r="K54" s="18">
        <f t="shared" si="4"/>
        <v>88.592666342424451</v>
      </c>
      <c r="L54" s="22"/>
    </row>
    <row r="55" spans="2:12" ht="12.95" customHeight="1" outlineLevel="1" x14ac:dyDescent="0.2">
      <c r="B55" s="95" t="s">
        <v>6</v>
      </c>
      <c r="C55" s="69">
        <f>6773400</f>
        <v>6773400</v>
      </c>
      <c r="D55" s="69">
        <f>172400</f>
        <v>172400</v>
      </c>
      <c r="E55" s="19" t="s">
        <v>56</v>
      </c>
      <c r="F55" s="19" t="s">
        <v>56</v>
      </c>
      <c r="G55" s="19" t="s">
        <v>56</v>
      </c>
      <c r="H55" s="19" t="s">
        <v>56</v>
      </c>
      <c r="I55" s="19" t="s">
        <v>56</v>
      </c>
      <c r="J55" s="18">
        <f t="shared" si="0"/>
        <v>5.6530070880766862E-4</v>
      </c>
      <c r="K55" s="18">
        <f t="shared" si="4"/>
        <v>2.545250538872649</v>
      </c>
      <c r="L55" s="22"/>
    </row>
    <row r="56" spans="2:12" ht="13.5" customHeight="1" outlineLevel="1" x14ac:dyDescent="0.2">
      <c r="B56" s="90" t="s">
        <v>85</v>
      </c>
      <c r="C56" s="67">
        <f>276818944.37</f>
        <v>276818944.37</v>
      </c>
      <c r="D56" s="67">
        <f>103146191.64</f>
        <v>103146191.64</v>
      </c>
      <c r="E56" s="20" t="s">
        <v>56</v>
      </c>
      <c r="F56" s="20" t="s">
        <v>56</v>
      </c>
      <c r="G56" s="20" t="s">
        <v>56</v>
      </c>
      <c r="H56" s="20" t="s">
        <v>56</v>
      </c>
      <c r="I56" s="20" t="s">
        <v>56</v>
      </c>
      <c r="J56" s="16">
        <f t="shared" si="0"/>
        <v>0.33821702578250362</v>
      </c>
      <c r="K56" s="16">
        <f t="shared" si="4"/>
        <v>37.261247374071836</v>
      </c>
      <c r="L56" s="22"/>
    </row>
    <row r="57" spans="2:12" ht="12.95" customHeight="1" outlineLevel="1" x14ac:dyDescent="0.2">
      <c r="B57" s="93" t="s">
        <v>86</v>
      </c>
      <c r="C57" s="69">
        <f>219934288.86</f>
        <v>219934288.86000001</v>
      </c>
      <c r="D57" s="69">
        <f>92148325.59</f>
        <v>92148325.590000004</v>
      </c>
      <c r="E57" s="19" t="s">
        <v>56</v>
      </c>
      <c r="F57" s="19" t="s">
        <v>56</v>
      </c>
      <c r="G57" s="19" t="s">
        <v>56</v>
      </c>
      <c r="H57" s="19" t="s">
        <v>56</v>
      </c>
      <c r="I57" s="19" t="s">
        <v>56</v>
      </c>
      <c r="J57" s="18">
        <f t="shared" si="0"/>
        <v>0.30215495227068928</v>
      </c>
      <c r="K57" s="18">
        <f t="shared" si="4"/>
        <v>41.898116963770647</v>
      </c>
      <c r="L57" s="22"/>
    </row>
    <row r="58" spans="2:12" ht="13.5" customHeight="1" outlineLevel="1" x14ac:dyDescent="0.2">
      <c r="B58" s="90" t="s">
        <v>87</v>
      </c>
      <c r="C58" s="73">
        <f>5352657005.6</f>
        <v>5352657005.6000004</v>
      </c>
      <c r="D58" s="73">
        <f>767466271.88</f>
        <v>767466271.88</v>
      </c>
      <c r="E58" s="20" t="s">
        <v>56</v>
      </c>
      <c r="F58" s="20" t="s">
        <v>56</v>
      </c>
      <c r="G58" s="20" t="s">
        <v>56</v>
      </c>
      <c r="H58" s="20" t="s">
        <v>56</v>
      </c>
      <c r="I58" s="20" t="s">
        <v>56</v>
      </c>
      <c r="J58" s="23">
        <f t="shared" si="0"/>
        <v>2.5165268415298314</v>
      </c>
      <c r="K58" s="23">
        <f t="shared" si="4"/>
        <v>14.338043163929045</v>
      </c>
      <c r="L58" s="22"/>
    </row>
    <row r="59" spans="2:12" ht="12.95" customHeight="1" outlineLevel="1" x14ac:dyDescent="0.2">
      <c r="B59" s="94" t="s">
        <v>88</v>
      </c>
      <c r="C59" s="72">
        <f>4986699217.84</f>
        <v>4986699217.8400002</v>
      </c>
      <c r="D59" s="72">
        <f>643056801.49</f>
        <v>643056801.49000001</v>
      </c>
      <c r="E59" s="24" t="s">
        <v>56</v>
      </c>
      <c r="F59" s="24" t="s">
        <v>56</v>
      </c>
      <c r="G59" s="24" t="s">
        <v>56</v>
      </c>
      <c r="H59" s="24" t="s">
        <v>56</v>
      </c>
      <c r="I59" s="24" t="s">
        <v>56</v>
      </c>
      <c r="J59" s="25">
        <f t="shared" si="0"/>
        <v>2.1085873879691954</v>
      </c>
      <c r="K59" s="25">
        <f t="shared" si="4"/>
        <v>12.895439917239313</v>
      </c>
      <c r="L59" s="22"/>
    </row>
    <row r="60" spans="2:12" s="26" customFormat="1" ht="25.5" customHeight="1" x14ac:dyDescent="0.2">
      <c r="B60" s="88" t="s">
        <v>63</v>
      </c>
      <c r="C60" s="67">
        <f>C61+C62+C63+C67</f>
        <v>24064325886</v>
      </c>
      <c r="D60" s="67">
        <f>D61+D62+D63+D67</f>
        <v>9069203930</v>
      </c>
      <c r="E60" s="20" t="s">
        <v>56</v>
      </c>
      <c r="F60" s="20" t="s">
        <v>56</v>
      </c>
      <c r="G60" s="20" t="s">
        <v>56</v>
      </c>
      <c r="H60" s="20" t="s">
        <v>56</v>
      </c>
      <c r="I60" s="20" t="s">
        <v>56</v>
      </c>
      <c r="J60" s="16">
        <f t="shared" si="0"/>
        <v>29.737978015952983</v>
      </c>
      <c r="K60" s="16">
        <f t="shared" si="4"/>
        <v>37.687338398605327</v>
      </c>
      <c r="L60" s="27"/>
    </row>
    <row r="61" spans="2:12" ht="12.95" customHeight="1" outlineLevel="1" x14ac:dyDescent="0.2">
      <c r="B61" s="10" t="s">
        <v>39</v>
      </c>
      <c r="C61" s="69">
        <f>22705714684</f>
        <v>22705714684</v>
      </c>
      <c r="D61" s="69">
        <f>8742680510</f>
        <v>8742680510</v>
      </c>
      <c r="E61" s="19" t="s">
        <v>56</v>
      </c>
      <c r="F61" s="19" t="s">
        <v>56</v>
      </c>
      <c r="G61" s="19" t="s">
        <v>56</v>
      </c>
      <c r="H61" s="19" t="s">
        <v>56</v>
      </c>
      <c r="I61" s="19" t="s">
        <v>56</v>
      </c>
      <c r="J61" s="18">
        <f t="shared" si="0"/>
        <v>28.667305621705278</v>
      </c>
      <c r="K61" s="18">
        <f t="shared" si="4"/>
        <v>38.504317664841842</v>
      </c>
      <c r="L61" s="22"/>
    </row>
    <row r="62" spans="2:12" s="26" customFormat="1" ht="12.95" customHeight="1" outlineLevel="1" x14ac:dyDescent="0.2">
      <c r="B62" s="10" t="s">
        <v>35</v>
      </c>
      <c r="C62" s="68">
        <f>12500000</f>
        <v>12500000</v>
      </c>
      <c r="D62" s="71">
        <f>0</f>
        <v>0</v>
      </c>
      <c r="E62" s="17" t="s">
        <v>56</v>
      </c>
      <c r="F62" s="17" t="s">
        <v>56</v>
      </c>
      <c r="G62" s="17" t="s">
        <v>56</v>
      </c>
      <c r="H62" s="17" t="s">
        <v>56</v>
      </c>
      <c r="I62" s="17" t="s">
        <v>56</v>
      </c>
      <c r="J62" s="18">
        <f t="shared" si="0"/>
        <v>0</v>
      </c>
      <c r="K62" s="18">
        <f t="shared" si="4"/>
        <v>0</v>
      </c>
      <c r="L62" s="27"/>
    </row>
    <row r="63" spans="2:12" s="26" customFormat="1" ht="25.5" customHeight="1" outlineLevel="1" x14ac:dyDescent="0.2">
      <c r="B63" s="90" t="s">
        <v>107</v>
      </c>
      <c r="C63" s="67">
        <f>C64+C65+C66</f>
        <v>456657528</v>
      </c>
      <c r="D63" s="67">
        <f>D64+D65+D66</f>
        <v>113270718</v>
      </c>
      <c r="E63" s="20" t="s">
        <v>56</v>
      </c>
      <c r="F63" s="20" t="s">
        <v>56</v>
      </c>
      <c r="G63" s="20" t="s">
        <v>56</v>
      </c>
      <c r="H63" s="20" t="s">
        <v>56</v>
      </c>
      <c r="I63" s="20" t="s">
        <v>56</v>
      </c>
      <c r="J63" s="16">
        <f t="shared" si="0"/>
        <v>0.37141541283383728</v>
      </c>
      <c r="K63" s="16">
        <f t="shared" si="4"/>
        <v>24.804303237063902</v>
      </c>
      <c r="L63" s="27"/>
    </row>
    <row r="64" spans="2:12" ht="12.95" customHeight="1" outlineLevel="1" x14ac:dyDescent="0.2">
      <c r="B64" s="93" t="s">
        <v>40</v>
      </c>
      <c r="C64" s="68">
        <f>354047104</f>
        <v>354047104</v>
      </c>
      <c r="D64" s="71">
        <f>88666575</f>
        <v>88666575</v>
      </c>
      <c r="E64" s="17" t="s">
        <v>56</v>
      </c>
      <c r="F64" s="17" t="s">
        <v>56</v>
      </c>
      <c r="G64" s="17" t="s">
        <v>56</v>
      </c>
      <c r="H64" s="17" t="s">
        <v>56</v>
      </c>
      <c r="I64" s="17" t="s">
        <v>56</v>
      </c>
      <c r="J64" s="18">
        <f t="shared" si="0"/>
        <v>0.29073826969285566</v>
      </c>
      <c r="K64" s="18">
        <f t="shared" si="4"/>
        <v>25.043722713235354</v>
      </c>
      <c r="L64" s="22"/>
    </row>
    <row r="65" spans="1:26" ht="12.95" customHeight="1" outlineLevel="1" x14ac:dyDescent="0.2">
      <c r="B65" s="93" t="s">
        <v>38</v>
      </c>
      <c r="C65" s="69">
        <f>3193822</f>
        <v>3193822</v>
      </c>
      <c r="D65" s="69">
        <f>0</f>
        <v>0</v>
      </c>
      <c r="E65" s="19" t="s">
        <v>56</v>
      </c>
      <c r="F65" s="19" t="s">
        <v>56</v>
      </c>
      <c r="G65" s="19" t="s">
        <v>56</v>
      </c>
      <c r="H65" s="19" t="s">
        <v>56</v>
      </c>
      <c r="I65" s="19" t="s">
        <v>56</v>
      </c>
      <c r="J65" s="18">
        <f t="shared" si="0"/>
        <v>0</v>
      </c>
      <c r="K65" s="18">
        <f t="shared" si="4"/>
        <v>0</v>
      </c>
      <c r="L65" s="22"/>
    </row>
    <row r="66" spans="1:26" ht="12.95" customHeight="1" outlineLevel="1" x14ac:dyDescent="0.2">
      <c r="B66" s="93" t="s">
        <v>37</v>
      </c>
      <c r="C66" s="68">
        <f>99416602</f>
        <v>99416602</v>
      </c>
      <c r="D66" s="71">
        <f>24604143</f>
        <v>24604143</v>
      </c>
      <c r="E66" s="17" t="s">
        <v>56</v>
      </c>
      <c r="F66" s="17" t="s">
        <v>56</v>
      </c>
      <c r="G66" s="17" t="s">
        <v>56</v>
      </c>
      <c r="H66" s="17" t="s">
        <v>56</v>
      </c>
      <c r="I66" s="17" t="s">
        <v>56</v>
      </c>
      <c r="J66" s="18">
        <f t="shared" si="0"/>
        <v>8.0677143140981664E-2</v>
      </c>
      <c r="K66" s="18">
        <f t="shared" si="4"/>
        <v>24.748525402226079</v>
      </c>
      <c r="L66" s="22"/>
    </row>
    <row r="67" spans="1:26" s="26" customFormat="1" ht="40.5" customHeight="1" outlineLevel="1" x14ac:dyDescent="0.2">
      <c r="B67" s="90" t="s">
        <v>108</v>
      </c>
      <c r="C67" s="67">
        <f>C68+C69</f>
        <v>889453674</v>
      </c>
      <c r="D67" s="67">
        <f>D68+D69</f>
        <v>213252702</v>
      </c>
      <c r="E67" s="20" t="s">
        <v>56</v>
      </c>
      <c r="F67" s="20" t="s">
        <v>56</v>
      </c>
      <c r="G67" s="20" t="s">
        <v>56</v>
      </c>
      <c r="H67" s="20" t="s">
        <v>56</v>
      </c>
      <c r="I67" s="20" t="s">
        <v>56</v>
      </c>
      <c r="J67" s="16">
        <f t="shared" si="0"/>
        <v>0.69925698141386627</v>
      </c>
      <c r="K67" s="16">
        <f t="shared" si="4"/>
        <v>23.975695219850202</v>
      </c>
      <c r="L67" s="27"/>
    </row>
    <row r="68" spans="1:26" ht="12.95" customHeight="1" outlineLevel="1" x14ac:dyDescent="0.2">
      <c r="B68" s="93" t="s">
        <v>37</v>
      </c>
      <c r="C68" s="68">
        <f>739970265</f>
        <v>739970265</v>
      </c>
      <c r="D68" s="71">
        <f>175780443</f>
        <v>175780443</v>
      </c>
      <c r="E68" s="17" t="s">
        <v>56</v>
      </c>
      <c r="F68" s="17" t="s">
        <v>56</v>
      </c>
      <c r="G68" s="17" t="s">
        <v>56</v>
      </c>
      <c r="H68" s="17" t="s">
        <v>56</v>
      </c>
      <c r="I68" s="17" t="s">
        <v>56</v>
      </c>
      <c r="J68" s="18">
        <f t="shared" si="0"/>
        <v>0.57638520314632247</v>
      </c>
      <c r="K68" s="18">
        <f t="shared" si="4"/>
        <v>23.755068455352053</v>
      </c>
      <c r="L68" s="22"/>
    </row>
    <row r="69" spans="1:26" ht="12.95" customHeight="1" outlineLevel="1" x14ac:dyDescent="0.2">
      <c r="B69" s="93" t="s">
        <v>40</v>
      </c>
      <c r="C69" s="69">
        <f>149483409</f>
        <v>149483409</v>
      </c>
      <c r="D69" s="69">
        <f>37472259</f>
        <v>37472259</v>
      </c>
      <c r="E69" s="19" t="s">
        <v>56</v>
      </c>
      <c r="F69" s="19" t="s">
        <v>56</v>
      </c>
      <c r="G69" s="19" t="s">
        <v>56</v>
      </c>
      <c r="H69" s="19" t="s">
        <v>56</v>
      </c>
      <c r="I69" s="19" t="s">
        <v>56</v>
      </c>
      <c r="J69" s="18">
        <f t="shared" si="0"/>
        <v>0.12287177826754374</v>
      </c>
      <c r="K69" s="18">
        <f t="shared" si="4"/>
        <v>25.067838130450987</v>
      </c>
      <c r="L69" s="22"/>
    </row>
    <row r="70" spans="1:26" ht="11.25" customHeight="1" x14ac:dyDescent="0.2">
      <c r="B70" s="28"/>
      <c r="C70" s="29"/>
      <c r="D70" s="29"/>
      <c r="E70" s="29"/>
      <c r="F70" s="29"/>
      <c r="G70" s="29"/>
      <c r="H70" s="29"/>
      <c r="I70" s="29"/>
      <c r="J70" s="21"/>
      <c r="K70" s="21"/>
      <c r="L70" s="22"/>
    </row>
    <row r="71" spans="1:26" ht="13.5" customHeight="1" x14ac:dyDescent="0.2">
      <c r="B71" s="65" t="s">
        <v>5</v>
      </c>
      <c r="C71" s="20">
        <f t="shared" ref="C71:I71" si="5">+C5</f>
        <v>106888107197.95</v>
      </c>
      <c r="D71" s="20">
        <f t="shared" si="5"/>
        <v>30497042956.77</v>
      </c>
      <c r="E71" s="20">
        <f t="shared" si="5"/>
        <v>210602515.72</v>
      </c>
      <c r="F71" s="20">
        <f t="shared" si="5"/>
        <v>47639383.969999999</v>
      </c>
      <c r="G71" s="20">
        <f t="shared" si="5"/>
        <v>7447059.4699999997</v>
      </c>
      <c r="H71" s="20">
        <f t="shared" si="5"/>
        <v>34972073.719999999</v>
      </c>
      <c r="I71" s="20">
        <f t="shared" si="5"/>
        <v>72083.38</v>
      </c>
      <c r="J71" s="16">
        <f t="shared" si="0"/>
        <v>100</v>
      </c>
      <c r="K71" s="16">
        <f>IF(C71=0,"",100*D71/C71)</f>
        <v>28.531745725734865</v>
      </c>
      <c r="L71" s="22"/>
    </row>
    <row r="72" spans="1:26" x14ac:dyDescent="0.2">
      <c r="B72" s="100" t="s">
        <v>74</v>
      </c>
      <c r="C72" s="19">
        <f>11450085251.52</f>
        <v>11450085251.52</v>
      </c>
      <c r="D72" s="19">
        <f>1506209754.47</f>
        <v>1506209754.47</v>
      </c>
      <c r="E72" s="19">
        <f>0</f>
        <v>0</v>
      </c>
      <c r="F72" s="19">
        <f>0</f>
        <v>0</v>
      </c>
      <c r="G72" s="19">
        <f>0</f>
        <v>0</v>
      </c>
      <c r="H72" s="19">
        <f>0</f>
        <v>0</v>
      </c>
      <c r="I72" s="19">
        <f>0</f>
        <v>0</v>
      </c>
      <c r="J72" s="18">
        <f t="shared" si="0"/>
        <v>4.9388714722442897</v>
      </c>
      <c r="K72" s="18">
        <f>IF(C72=0,"",100*D72/C72)</f>
        <v>13.154572401721206</v>
      </c>
      <c r="L72" s="22"/>
    </row>
    <row r="73" spans="1:26" s="26" customFormat="1" x14ac:dyDescent="0.2">
      <c r="A73" s="9"/>
      <c r="B73" s="100" t="s">
        <v>75</v>
      </c>
      <c r="C73" s="19">
        <f>C71-C72</f>
        <v>95438021946.429993</v>
      </c>
      <c r="D73" s="19">
        <f t="shared" ref="D73:I73" si="6">D71-D72</f>
        <v>28990833202.299999</v>
      </c>
      <c r="E73" s="19">
        <f t="shared" si="6"/>
        <v>210602515.72</v>
      </c>
      <c r="F73" s="19">
        <f t="shared" si="6"/>
        <v>47639383.969999999</v>
      </c>
      <c r="G73" s="19">
        <f t="shared" si="6"/>
        <v>7447059.4699999997</v>
      </c>
      <c r="H73" s="19">
        <f t="shared" si="6"/>
        <v>34972073.719999999</v>
      </c>
      <c r="I73" s="19">
        <f t="shared" si="6"/>
        <v>72083.38</v>
      </c>
      <c r="J73" s="18">
        <f t="shared" si="0"/>
        <v>95.061128527755713</v>
      </c>
      <c r="K73" s="18">
        <f>IF(C73=0,"",100*D73/C73)</f>
        <v>30.376607363648787</v>
      </c>
      <c r="L73" s="30"/>
    </row>
    <row r="74" spans="1:26" s="26" customFormat="1" x14ac:dyDescent="0.2">
      <c r="A74" s="9"/>
      <c r="B74" s="106" t="s">
        <v>116</v>
      </c>
      <c r="C74" s="29"/>
      <c r="D74" s="29"/>
      <c r="E74" s="29"/>
      <c r="F74" s="29"/>
      <c r="G74" s="29"/>
      <c r="H74" s="29"/>
      <c r="I74" s="29"/>
      <c r="J74" s="21"/>
      <c r="K74" s="21"/>
      <c r="L74" s="30"/>
    </row>
    <row r="75" spans="1:26" s="26" customFormat="1" x14ac:dyDescent="0.2">
      <c r="A75" s="9"/>
      <c r="B75" s="105" t="s">
        <v>115</v>
      </c>
      <c r="C75" s="29"/>
      <c r="D75" s="29"/>
      <c r="E75" s="29"/>
      <c r="F75" s="29"/>
      <c r="G75" s="29"/>
      <c r="H75" s="29"/>
      <c r="I75" s="29"/>
      <c r="J75" s="21"/>
      <c r="K75" s="21"/>
      <c r="L75" s="30"/>
    </row>
    <row r="76" spans="1:26" ht="18" x14ac:dyDescent="0.2">
      <c r="B76" s="87" t="str">
        <f>CONCATENATE("Informacja z wykonania budżetów miast na prawach powiatu za ",$D$137," ",$C$138," rok    ",$C$140,"")</f>
        <v xml:space="preserve">Informacja z wykonania budżetów miast na prawach powiatu za I Kwartał 2023 rok    </v>
      </c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</row>
    <row r="77" spans="1:26" s="26" customFormat="1" x14ac:dyDescent="0.2">
      <c r="B77" s="31"/>
      <c r="C77" s="32"/>
      <c r="D77" s="32"/>
      <c r="E77" s="32"/>
      <c r="F77" s="33"/>
      <c r="G77" s="33"/>
      <c r="H77" s="33"/>
      <c r="I77" s="33"/>
      <c r="J77" s="33"/>
      <c r="K77" s="1"/>
      <c r="L77" s="1"/>
      <c r="M77" s="34"/>
    </row>
    <row r="78" spans="1:26" ht="29.25" customHeight="1" x14ac:dyDescent="0.2">
      <c r="B78" s="112" t="s">
        <v>0</v>
      </c>
      <c r="C78" s="111" t="s">
        <v>46</v>
      </c>
      <c r="D78" s="111" t="s">
        <v>48</v>
      </c>
      <c r="E78" s="111" t="s">
        <v>47</v>
      </c>
      <c r="F78" s="111" t="s">
        <v>10</v>
      </c>
      <c r="G78" s="111"/>
      <c r="H78" s="111"/>
      <c r="I78" s="116" t="s">
        <v>84</v>
      </c>
      <c r="J78" s="111" t="s">
        <v>2</v>
      </c>
      <c r="K78" s="113" t="s">
        <v>16</v>
      </c>
      <c r="M78" s="35"/>
      <c r="N78" s="52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ht="18" customHeight="1" x14ac:dyDescent="0.2">
      <c r="B79" s="112"/>
      <c r="C79" s="111"/>
      <c r="D79" s="111"/>
      <c r="E79" s="115"/>
      <c r="F79" s="114" t="s">
        <v>49</v>
      </c>
      <c r="G79" s="123" t="s">
        <v>27</v>
      </c>
      <c r="H79" s="115"/>
      <c r="I79" s="117"/>
      <c r="J79" s="111"/>
      <c r="K79" s="113"/>
      <c r="L79" s="2"/>
      <c r="M79" s="3"/>
      <c r="N79" s="52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ht="58.5" customHeight="1" x14ac:dyDescent="0.2">
      <c r="B80" s="112"/>
      <c r="C80" s="111"/>
      <c r="D80" s="111"/>
      <c r="E80" s="115"/>
      <c r="F80" s="115"/>
      <c r="G80" s="7" t="s">
        <v>44</v>
      </c>
      <c r="H80" s="7" t="s">
        <v>45</v>
      </c>
      <c r="I80" s="118"/>
      <c r="J80" s="111"/>
      <c r="K80" s="113"/>
      <c r="L80" s="2"/>
      <c r="M80" s="35"/>
      <c r="N80" s="52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2:26" ht="13.5" customHeight="1" x14ac:dyDescent="0.2">
      <c r="B81" s="112"/>
      <c r="C81" s="119" t="s">
        <v>78</v>
      </c>
      <c r="D81" s="120"/>
      <c r="E81" s="120"/>
      <c r="F81" s="120"/>
      <c r="G81" s="120"/>
      <c r="H81" s="120"/>
      <c r="I81" s="121"/>
      <c r="J81" s="122" t="s">
        <v>4</v>
      </c>
      <c r="K81" s="122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2:26" ht="11.25" customHeight="1" x14ac:dyDescent="0.2">
      <c r="B82" s="6">
        <v>1</v>
      </c>
      <c r="C82" s="8">
        <v>2</v>
      </c>
      <c r="D82" s="8">
        <v>3</v>
      </c>
      <c r="E82" s="8">
        <v>4</v>
      </c>
      <c r="F82" s="6">
        <v>5</v>
      </c>
      <c r="G82" s="6">
        <v>6</v>
      </c>
      <c r="H82" s="8">
        <v>7</v>
      </c>
      <c r="I82" s="8">
        <v>8</v>
      </c>
      <c r="J82" s="6">
        <v>9</v>
      </c>
      <c r="K82" s="8">
        <v>10</v>
      </c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2:26" ht="25.5" customHeight="1" x14ac:dyDescent="0.2">
      <c r="B83" s="65" t="s">
        <v>64</v>
      </c>
      <c r="C83" s="74">
        <f>124393012722</f>
        <v>124393012722</v>
      </c>
      <c r="D83" s="74">
        <f>27032681845.84</f>
        <v>27032681845.84</v>
      </c>
      <c r="E83" s="74">
        <f>90034536016.79</f>
        <v>90034536016.789993</v>
      </c>
      <c r="F83" s="74">
        <f>3899543318.54</f>
        <v>3899543318.54</v>
      </c>
      <c r="G83" s="74">
        <f>771344.84</f>
        <v>771344.84</v>
      </c>
      <c r="H83" s="74">
        <f>1969692.33</f>
        <v>1969692.33</v>
      </c>
      <c r="I83" s="74">
        <f>0</f>
        <v>0</v>
      </c>
      <c r="J83" s="43">
        <f>IF($D$83=0,"",100*$D83/$D$83)</f>
        <v>100</v>
      </c>
      <c r="K83" s="43">
        <f>IF(C83=0,"",100*D83/C83)</f>
        <v>21.731672265430252</v>
      </c>
      <c r="N83" s="53"/>
      <c r="O83" s="54"/>
    </row>
    <row r="84" spans="2:26" x14ac:dyDescent="0.2">
      <c r="B84" s="88" t="s">
        <v>12</v>
      </c>
      <c r="C84" s="75">
        <f>26032526040.61</f>
        <v>26032526040.610001</v>
      </c>
      <c r="D84" s="75">
        <f>2367620575.31</f>
        <v>2367620575.3099999</v>
      </c>
      <c r="E84" s="75">
        <f>14413856106.79</f>
        <v>14413856106.790001</v>
      </c>
      <c r="F84" s="75">
        <f>571486190.57</f>
        <v>571486190.57000005</v>
      </c>
      <c r="G84" s="75">
        <f>132263.6</f>
        <v>132263.6</v>
      </c>
      <c r="H84" s="75">
        <f>55882.22</f>
        <v>55882.22</v>
      </c>
      <c r="I84" s="75">
        <f>0</f>
        <v>0</v>
      </c>
      <c r="J84" s="43">
        <f t="shared" ref="J84:J92" si="7">IF($D$83=0,"",100*$D84/$D$83)</f>
        <v>8.758363631148006</v>
      </c>
      <c r="K84" s="43">
        <f t="shared" ref="K84:K92" si="8">IF(C84=0,"",100*D84/C84)</f>
        <v>9.0948553037710571</v>
      </c>
      <c r="N84" s="55"/>
      <c r="O84" s="54"/>
    </row>
    <row r="85" spans="2:26" ht="12.95" customHeight="1" outlineLevel="1" x14ac:dyDescent="0.2">
      <c r="B85" s="10" t="s">
        <v>11</v>
      </c>
      <c r="C85" s="69">
        <f>23955684884.06</f>
        <v>23955684884.060001</v>
      </c>
      <c r="D85" s="69">
        <f>2002630576.44</f>
        <v>2002630576.4400001</v>
      </c>
      <c r="E85" s="69">
        <f>13683388892.81</f>
        <v>13683388892.809999</v>
      </c>
      <c r="F85" s="69">
        <f>522247804.92</f>
        <v>522247804.92000002</v>
      </c>
      <c r="G85" s="69">
        <f>132263.6</f>
        <v>132263.6</v>
      </c>
      <c r="H85" s="69">
        <f>55882.22</f>
        <v>55882.22</v>
      </c>
      <c r="I85" s="69">
        <f>0</f>
        <v>0</v>
      </c>
      <c r="J85" s="43">
        <f t="shared" si="7"/>
        <v>7.4081831312943907</v>
      </c>
      <c r="K85" s="43">
        <f t="shared" si="8"/>
        <v>8.3597300020110925</v>
      </c>
      <c r="N85" s="29"/>
      <c r="O85" s="54"/>
    </row>
    <row r="86" spans="2:26" ht="25.5" customHeight="1" x14ac:dyDescent="0.2">
      <c r="B86" s="88" t="s">
        <v>65</v>
      </c>
      <c r="C86" s="75">
        <f t="shared" ref="C86:I86" si="9">C83-C84</f>
        <v>98360486681.389999</v>
      </c>
      <c r="D86" s="75">
        <f t="shared" si="9"/>
        <v>24665061270.529999</v>
      </c>
      <c r="E86" s="75">
        <f>E83-E84</f>
        <v>75620679910</v>
      </c>
      <c r="F86" s="75">
        <f t="shared" si="9"/>
        <v>3328057127.9699998</v>
      </c>
      <c r="G86" s="75">
        <f t="shared" si="9"/>
        <v>639081.24</v>
      </c>
      <c r="H86" s="75">
        <f t="shared" si="9"/>
        <v>1913810.11</v>
      </c>
      <c r="I86" s="75">
        <f t="shared" si="9"/>
        <v>0</v>
      </c>
      <c r="J86" s="43">
        <f t="shared" si="7"/>
        <v>91.241636368851999</v>
      </c>
      <c r="K86" s="43">
        <f t="shared" si="8"/>
        <v>25.076188724467421</v>
      </c>
      <c r="N86" s="55"/>
      <c r="O86" s="54"/>
    </row>
    <row r="87" spans="2:26" ht="24" customHeight="1" outlineLevel="1" x14ac:dyDescent="0.2">
      <c r="B87" s="10" t="s">
        <v>105</v>
      </c>
      <c r="C87" s="69">
        <f>39567593353.84</f>
        <v>39567593353.839996</v>
      </c>
      <c r="D87" s="69">
        <f>11428202588.67</f>
        <v>11428202588.67</v>
      </c>
      <c r="E87" s="69">
        <f>35123412749.1199</f>
        <v>35123412749.119904</v>
      </c>
      <c r="F87" s="69">
        <f>1485262912.03</f>
        <v>1485262912.03</v>
      </c>
      <c r="G87" s="69">
        <f>7717.82</f>
        <v>7717.82</v>
      </c>
      <c r="H87" s="69">
        <f>0</f>
        <v>0</v>
      </c>
      <c r="I87" s="69">
        <f>0</f>
        <v>0</v>
      </c>
      <c r="J87" s="43">
        <f t="shared" si="7"/>
        <v>42.275504346338693</v>
      </c>
      <c r="K87" s="43">
        <f t="shared" si="8"/>
        <v>28.882733621100826</v>
      </c>
      <c r="N87" s="29"/>
      <c r="O87" s="54"/>
    </row>
    <row r="88" spans="2:26" ht="12.95" customHeight="1" outlineLevel="1" x14ac:dyDescent="0.2">
      <c r="B88" s="10" t="s">
        <v>43</v>
      </c>
      <c r="C88" s="76">
        <f>12158056951.97</f>
        <v>12158056951.969999</v>
      </c>
      <c r="D88" s="76">
        <f>3380107653.21</f>
        <v>3380107653.21</v>
      </c>
      <c r="E88" s="76">
        <f>8307969735.32</f>
        <v>8307969735.3199997</v>
      </c>
      <c r="F88" s="76">
        <f>190067069.65</f>
        <v>190067069.65000001</v>
      </c>
      <c r="G88" s="76">
        <f>0</f>
        <v>0</v>
      </c>
      <c r="H88" s="76">
        <f>0</f>
        <v>0</v>
      </c>
      <c r="I88" s="76">
        <f>0</f>
        <v>0</v>
      </c>
      <c r="J88" s="43">
        <f t="shared" si="7"/>
        <v>12.503782171838631</v>
      </c>
      <c r="K88" s="43">
        <f t="shared" si="8"/>
        <v>27.801380323870855</v>
      </c>
      <c r="N88" s="56"/>
      <c r="O88" s="54"/>
    </row>
    <row r="89" spans="2:26" ht="12.95" customHeight="1" outlineLevel="1" x14ac:dyDescent="0.2">
      <c r="B89" s="10" t="s">
        <v>42</v>
      </c>
      <c r="C89" s="69">
        <f>3099473094.48</f>
        <v>3099473094.48</v>
      </c>
      <c r="D89" s="69">
        <f>501873877.58</f>
        <v>501873877.57999998</v>
      </c>
      <c r="E89" s="69">
        <f>1972924294.78</f>
        <v>1972924294.78</v>
      </c>
      <c r="F89" s="69">
        <f>162114457.05</f>
        <v>162114457.05000001</v>
      </c>
      <c r="G89" s="69">
        <f>0</f>
        <v>0</v>
      </c>
      <c r="H89" s="69">
        <f>0</f>
        <v>0</v>
      </c>
      <c r="I89" s="69">
        <f>0</f>
        <v>0</v>
      </c>
      <c r="J89" s="43">
        <f t="shared" si="7"/>
        <v>1.8565449053188641</v>
      </c>
      <c r="K89" s="43">
        <f t="shared" si="8"/>
        <v>16.192232107896377</v>
      </c>
      <c r="N89" s="29"/>
      <c r="O89" s="54"/>
    </row>
    <row r="90" spans="2:26" ht="22.5" customHeight="1" outlineLevel="1" x14ac:dyDescent="0.2">
      <c r="B90" s="10" t="s">
        <v>71</v>
      </c>
      <c r="C90" s="76">
        <f>116884274.22</f>
        <v>116884274.22</v>
      </c>
      <c r="D90" s="76">
        <f>1074045.4</f>
        <v>1074045.3999999999</v>
      </c>
      <c r="E90" s="76">
        <f>12710758.22</f>
        <v>12710758.220000001</v>
      </c>
      <c r="F90" s="76">
        <f>0</f>
        <v>0</v>
      </c>
      <c r="G90" s="76">
        <f>0</f>
        <v>0</v>
      </c>
      <c r="H90" s="76">
        <f>0</f>
        <v>0</v>
      </c>
      <c r="I90" s="76">
        <f>0</f>
        <v>0</v>
      </c>
      <c r="J90" s="43">
        <f t="shared" si="7"/>
        <v>3.9731366873808054E-3</v>
      </c>
      <c r="K90" s="43">
        <f t="shared" si="8"/>
        <v>0.91889641028905888</v>
      </c>
      <c r="N90" s="56"/>
      <c r="O90" s="54"/>
    </row>
    <row r="91" spans="2:26" ht="22.5" customHeight="1" outlineLevel="1" x14ac:dyDescent="0.2">
      <c r="B91" s="10" t="s">
        <v>72</v>
      </c>
      <c r="C91" s="76">
        <f>5431458958.12</f>
        <v>5431458958.1199999</v>
      </c>
      <c r="D91" s="76">
        <f>1550632510.12</f>
        <v>1550632510.1199999</v>
      </c>
      <c r="E91" s="76">
        <f>3610023191.69</f>
        <v>3610023191.6900001</v>
      </c>
      <c r="F91" s="76">
        <f>51746343.99</f>
        <v>51746343.990000002</v>
      </c>
      <c r="G91" s="76">
        <f>45786.33</f>
        <v>45786.33</v>
      </c>
      <c r="H91" s="76">
        <f>82882.55</f>
        <v>82882.55</v>
      </c>
      <c r="I91" s="77">
        <f>0</f>
        <v>0</v>
      </c>
      <c r="J91" s="43">
        <f t="shared" si="7"/>
        <v>5.7361401246196495</v>
      </c>
      <c r="K91" s="43">
        <f t="shared" si="8"/>
        <v>28.549097435447123</v>
      </c>
      <c r="N91" s="56"/>
      <c r="O91" s="54"/>
    </row>
    <row r="92" spans="2:26" ht="12.95" customHeight="1" outlineLevel="1" x14ac:dyDescent="0.2">
      <c r="B92" s="10" t="s">
        <v>41</v>
      </c>
      <c r="C92" s="69">
        <f t="shared" ref="C92:I92" si="10">C86-C87-C88-C89-C90-C91</f>
        <v>37987020048.759995</v>
      </c>
      <c r="D92" s="69">
        <f t="shared" si="10"/>
        <v>7803170595.5499983</v>
      </c>
      <c r="E92" s="69">
        <f>E86-E87-E88-E89-E90-E91</f>
        <v>26593639180.870098</v>
      </c>
      <c r="F92" s="69">
        <f t="shared" si="10"/>
        <v>1438866345.2499998</v>
      </c>
      <c r="G92" s="69">
        <f t="shared" si="10"/>
        <v>585577.09000000008</v>
      </c>
      <c r="H92" s="69">
        <f t="shared" si="10"/>
        <v>1830927.56</v>
      </c>
      <c r="I92" s="77">
        <f t="shared" si="10"/>
        <v>0</v>
      </c>
      <c r="J92" s="43">
        <f t="shared" si="7"/>
        <v>28.86569168404877</v>
      </c>
      <c r="K92" s="43">
        <f t="shared" si="8"/>
        <v>20.541676039694291</v>
      </c>
      <c r="N92" s="29"/>
      <c r="O92" s="54"/>
    </row>
    <row r="93" spans="2:26" x14ac:dyDescent="0.2">
      <c r="B93" s="65" t="s">
        <v>13</v>
      </c>
      <c r="C93" s="75">
        <f>C5-C83</f>
        <v>-17504905524.050003</v>
      </c>
      <c r="D93" s="75">
        <f>D5-D83</f>
        <v>3464361110.9300003</v>
      </c>
      <c r="E93" s="61"/>
      <c r="F93" s="55"/>
      <c r="G93" s="55"/>
      <c r="H93" s="55"/>
      <c r="I93" s="124"/>
      <c r="J93" s="124"/>
      <c r="K93" s="37"/>
      <c r="L93" s="37"/>
      <c r="M93" s="4"/>
      <c r="N93" s="54"/>
      <c r="O93" s="55"/>
    </row>
    <row r="94" spans="2:26" ht="38.25" x14ac:dyDescent="0.2">
      <c r="B94" s="96" t="s">
        <v>109</v>
      </c>
      <c r="C94" s="75">
        <f>+C73-C86</f>
        <v>-2922464734.9600067</v>
      </c>
      <c r="D94" s="75">
        <f>+D73-D86</f>
        <v>4325771931.7700005</v>
      </c>
      <c r="E94" s="61"/>
      <c r="F94" s="55"/>
      <c r="G94" s="55"/>
      <c r="H94" s="55"/>
      <c r="I94" s="55"/>
      <c r="J94" s="55"/>
      <c r="K94" s="37"/>
      <c r="L94" s="37"/>
      <c r="M94" s="4"/>
      <c r="N94" s="54"/>
      <c r="O94" s="55"/>
    </row>
    <row r="95" spans="2:26" ht="8.25" customHeight="1" x14ac:dyDescent="0.2">
      <c r="B95" s="38"/>
      <c r="C95" s="39"/>
      <c r="D95" s="39"/>
      <c r="E95" s="39"/>
      <c r="F95" s="40"/>
      <c r="G95" s="40"/>
      <c r="H95" s="40"/>
      <c r="I95" s="40"/>
      <c r="J95" s="41"/>
      <c r="K95" s="41"/>
      <c r="L95" s="42"/>
      <c r="M95" s="35"/>
    </row>
    <row r="96" spans="2:26" x14ac:dyDescent="0.2">
      <c r="B96" s="104" t="s">
        <v>111</v>
      </c>
      <c r="C96" s="57"/>
      <c r="D96" s="57"/>
      <c r="E96" s="57"/>
      <c r="F96" s="58"/>
      <c r="G96" s="58"/>
      <c r="H96" s="58"/>
      <c r="I96" s="58"/>
      <c r="J96" s="59"/>
      <c r="K96" s="59"/>
      <c r="L96" s="42"/>
      <c r="M96" s="35"/>
    </row>
    <row r="97" spans="2:13" ht="26.25" customHeight="1" x14ac:dyDescent="0.2">
      <c r="B97" s="65" t="s">
        <v>89</v>
      </c>
      <c r="C97" s="78">
        <f>8129497196.25</f>
        <v>8129497196.25</v>
      </c>
      <c r="D97" s="79">
        <f>905188533.380001</f>
        <v>905188533.38000095</v>
      </c>
      <c r="E97" s="79">
        <f>5305919582.51999</f>
        <v>5305919582.51999</v>
      </c>
      <c r="F97" s="79">
        <f>179566335.72</f>
        <v>179566335.72</v>
      </c>
      <c r="G97" s="79">
        <f>0</f>
        <v>0</v>
      </c>
      <c r="H97" s="79">
        <f>0.7</f>
        <v>0.7</v>
      </c>
      <c r="I97" s="79">
        <f>0</f>
        <v>0</v>
      </c>
      <c r="J97" s="62">
        <f>IF($D$97=0,"",100*$D97/$D$97)</f>
        <v>100</v>
      </c>
      <c r="K97" s="43">
        <f>IF(C97=0,"",100*D97/C97)</f>
        <v>11.134618925725801</v>
      </c>
      <c r="L97" s="35"/>
    </row>
    <row r="98" spans="2:13" ht="15" customHeight="1" x14ac:dyDescent="0.2">
      <c r="B98" s="101" t="s">
        <v>76</v>
      </c>
      <c r="C98" s="80">
        <f>7513558384.45</f>
        <v>7513558384.4499998</v>
      </c>
      <c r="D98" s="76">
        <f>772450810.93</f>
        <v>772450810.92999995</v>
      </c>
      <c r="E98" s="76">
        <f>5036866011.08</f>
        <v>5036866011.0799999</v>
      </c>
      <c r="F98" s="76">
        <f>172207680.7</f>
        <v>172207680.69999999</v>
      </c>
      <c r="G98" s="76">
        <f>0</f>
        <v>0</v>
      </c>
      <c r="H98" s="76">
        <f>0</f>
        <v>0</v>
      </c>
      <c r="I98" s="76">
        <f>0</f>
        <v>0</v>
      </c>
      <c r="J98" s="62">
        <f>IF($D$97=0,"",100*$D98/$D$97)</f>
        <v>85.335903233953445</v>
      </c>
      <c r="K98" s="62">
        <f>IF(C98=0,"",100*D98/C98)</f>
        <v>10.280758748460091</v>
      </c>
      <c r="L98" s="35"/>
    </row>
    <row r="99" spans="2:13" x14ac:dyDescent="0.2">
      <c r="B99" s="102" t="s">
        <v>77</v>
      </c>
      <c r="C99" s="80">
        <f>C97-C98</f>
        <v>615938811.80000019</v>
      </c>
      <c r="D99" s="76">
        <f t="shared" ref="D99:I99" si="11">D97-D98</f>
        <v>132737722.450001</v>
      </c>
      <c r="E99" s="76">
        <f t="shared" si="11"/>
        <v>269053571.43999004</v>
      </c>
      <c r="F99" s="76">
        <f t="shared" si="11"/>
        <v>7358655.0200000107</v>
      </c>
      <c r="G99" s="76">
        <f t="shared" si="11"/>
        <v>0</v>
      </c>
      <c r="H99" s="76">
        <f t="shared" si="11"/>
        <v>0.7</v>
      </c>
      <c r="I99" s="76">
        <f t="shared" si="11"/>
        <v>0</v>
      </c>
      <c r="J99" s="62">
        <f>IF($D$97=0,"",100*$D99/$D$97)</f>
        <v>14.664096766046558</v>
      </c>
      <c r="K99" s="62">
        <f>IF(C99=0,"",100*D99/C99)</f>
        <v>21.550472207148701</v>
      </c>
    </row>
    <row r="100" spans="2:13" ht="6" customHeight="1" x14ac:dyDescent="0.2"/>
    <row r="101" spans="2:13" ht="18" x14ac:dyDescent="0.2">
      <c r="B101" s="87" t="str">
        <f>CONCATENATE("Informacja z wykonania budżetów miast na prawach powiatu za ",$D$137," ",$C$138," rok    ",$C$140,"")</f>
        <v xml:space="preserve">Informacja z wykonania budżetów miast na prawach powiatu za I Kwartał 2023 rok    </v>
      </c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</row>
    <row r="102" spans="2:13" ht="6.75" customHeight="1" x14ac:dyDescent="0.2"/>
    <row r="103" spans="2:13" x14ac:dyDescent="0.2">
      <c r="B103" s="13" t="s">
        <v>14</v>
      </c>
      <c r="C103" s="51" t="s">
        <v>15</v>
      </c>
      <c r="D103" s="8" t="s">
        <v>1</v>
      </c>
      <c r="E103" s="8" t="s">
        <v>23</v>
      </c>
      <c r="F103" s="8" t="s">
        <v>24</v>
      </c>
    </row>
    <row r="104" spans="2:13" x14ac:dyDescent="0.2">
      <c r="B104" s="13"/>
      <c r="C104" s="114" t="s">
        <v>78</v>
      </c>
      <c r="D104" s="125"/>
      <c r="E104" s="128" t="s">
        <v>4</v>
      </c>
      <c r="F104" s="129"/>
    </row>
    <row r="105" spans="2:13" x14ac:dyDescent="0.2">
      <c r="B105" s="11">
        <v>1</v>
      </c>
      <c r="C105" s="14">
        <v>2</v>
      </c>
      <c r="D105" s="12">
        <v>3</v>
      </c>
      <c r="E105" s="12">
        <v>4</v>
      </c>
      <c r="F105" s="12">
        <v>5</v>
      </c>
    </row>
    <row r="106" spans="2:13" ht="25.5" x14ac:dyDescent="0.2">
      <c r="B106" s="63" t="s">
        <v>66</v>
      </c>
      <c r="C106" s="81">
        <f>20391043708.58</f>
        <v>20391043708.580002</v>
      </c>
      <c r="D106" s="74">
        <f>10014019240.26</f>
        <v>10014019240.26</v>
      </c>
      <c r="E106" s="44">
        <f>IF($D$106=0,"",100*$D106/$D$106)</f>
        <v>100</v>
      </c>
      <c r="F106" s="36">
        <f t="shared" ref="F106:F113" si="12">IF(C106=0,"",100*D106/C106)</f>
        <v>49.109890515542226</v>
      </c>
    </row>
    <row r="107" spans="2:13" ht="22.5" x14ac:dyDescent="0.2">
      <c r="B107" s="97" t="s">
        <v>90</v>
      </c>
      <c r="C107" s="82">
        <f>12379749065.13</f>
        <v>12379749065.129999</v>
      </c>
      <c r="D107" s="71">
        <f>94258812.9</f>
        <v>94258812.900000006</v>
      </c>
      <c r="E107" s="45">
        <f t="shared" ref="E107:E116" si="13">IF($D$106=0,"",100*$D107/$D$106)</f>
        <v>0.94126854201602972</v>
      </c>
      <c r="F107" s="46">
        <f t="shared" si="12"/>
        <v>0.76139518179329257</v>
      </c>
    </row>
    <row r="108" spans="2:13" ht="11.25" customHeight="1" x14ac:dyDescent="0.2">
      <c r="B108" s="99" t="s">
        <v>91</v>
      </c>
      <c r="C108" s="83">
        <f>1656596000</f>
        <v>1656596000</v>
      </c>
      <c r="D108" s="70">
        <f>50000000</f>
        <v>50000000</v>
      </c>
      <c r="E108" s="47">
        <f t="shared" si="13"/>
        <v>0.49930001930675161</v>
      </c>
      <c r="F108" s="43">
        <f t="shared" si="12"/>
        <v>3.01823739765157</v>
      </c>
    </row>
    <row r="109" spans="2:13" ht="12.95" customHeight="1" x14ac:dyDescent="0.2">
      <c r="B109" s="98" t="s">
        <v>92</v>
      </c>
      <c r="C109" s="83">
        <f>43517441.47</f>
        <v>43517441.469999999</v>
      </c>
      <c r="D109" s="70">
        <f>12990104.63</f>
        <v>12990104.630000001</v>
      </c>
      <c r="E109" s="47">
        <f t="shared" si="13"/>
        <v>0.12971918985111447</v>
      </c>
      <c r="F109" s="43">
        <f t="shared" si="12"/>
        <v>29.850340900567655</v>
      </c>
    </row>
    <row r="110" spans="2:13" ht="45.75" customHeight="1" x14ac:dyDescent="0.2">
      <c r="B110" s="98" t="s">
        <v>101</v>
      </c>
      <c r="C110" s="83">
        <f>50860267.04</f>
        <v>50860267.039999999</v>
      </c>
      <c r="D110" s="70">
        <f>89361282.38</f>
        <v>89361282.379999995</v>
      </c>
      <c r="E110" s="47">
        <f t="shared" si="13"/>
        <v>0.89236180035220158</v>
      </c>
      <c r="F110" s="43">
        <f t="shared" si="12"/>
        <v>175.69959337751837</v>
      </c>
    </row>
    <row r="111" spans="2:13" ht="35.25" customHeight="1" x14ac:dyDescent="0.2">
      <c r="B111" s="98" t="s">
        <v>97</v>
      </c>
      <c r="C111" s="83">
        <f>888674961.44</f>
        <v>888674961.44000006</v>
      </c>
      <c r="D111" s="70">
        <f>1399477143.17</f>
        <v>1399477143.1700001</v>
      </c>
      <c r="E111" s="47">
        <f t="shared" si="13"/>
        <v>13.975179292082771</v>
      </c>
      <c r="F111" s="43">
        <f t="shared" si="12"/>
        <v>157.47907884141364</v>
      </c>
    </row>
    <row r="112" spans="2:13" ht="12.95" customHeight="1" x14ac:dyDescent="0.2">
      <c r="B112" s="98" t="s">
        <v>93</v>
      </c>
      <c r="C112" s="83">
        <f>22960000</f>
        <v>22960000</v>
      </c>
      <c r="D112" s="70">
        <f>0</f>
        <v>0</v>
      </c>
      <c r="E112" s="47">
        <f t="shared" si="13"/>
        <v>0</v>
      </c>
      <c r="F112" s="43">
        <f t="shared" si="12"/>
        <v>0</v>
      </c>
    </row>
    <row r="113" spans="2:8" ht="35.25" customHeight="1" x14ac:dyDescent="0.2">
      <c r="B113" s="98" t="s">
        <v>96</v>
      </c>
      <c r="C113" s="83">
        <f>4551498072.77</f>
        <v>4551498072.7700005</v>
      </c>
      <c r="D113" s="70">
        <f>6007717488.75</f>
        <v>6007717488.75</v>
      </c>
      <c r="E113" s="47">
        <f t="shared" si="13"/>
        <v>59.993069162447682</v>
      </c>
      <c r="F113" s="43">
        <f t="shared" si="12"/>
        <v>131.99428831338068</v>
      </c>
    </row>
    <row r="114" spans="2:8" ht="56.25" x14ac:dyDescent="0.2">
      <c r="B114" s="107" t="s">
        <v>123</v>
      </c>
      <c r="C114" s="83">
        <f>0</f>
        <v>0</v>
      </c>
      <c r="D114" s="70">
        <f>53860849.14</f>
        <v>53860849.140000001</v>
      </c>
      <c r="E114" s="47">
        <f t="shared" si="13"/>
        <v>0.53785446030960071</v>
      </c>
      <c r="F114" s="43" t="str">
        <f t="shared" ref="F114:F122" si="14">IF(C114=0,"",100*D114/C114)</f>
        <v/>
      </c>
    </row>
    <row r="115" spans="2:8" x14ac:dyDescent="0.2">
      <c r="B115" s="107" t="s">
        <v>119</v>
      </c>
      <c r="C115" s="83">
        <f>2453783900.73</f>
        <v>2453783900.73</v>
      </c>
      <c r="D115" s="70">
        <f>2356353559.29</f>
        <v>2356353559.29</v>
      </c>
      <c r="E115" s="47">
        <f t="shared" si="13"/>
        <v>23.530547552940597</v>
      </c>
      <c r="F115" s="43">
        <f t="shared" si="14"/>
        <v>96.029383785140396</v>
      </c>
    </row>
    <row r="116" spans="2:8" ht="22.5" x14ac:dyDescent="0.2">
      <c r="B116" s="108" t="s">
        <v>120</v>
      </c>
      <c r="C116" s="83">
        <f>2331302284.73</f>
        <v>2331302284.73</v>
      </c>
      <c r="D116" s="70">
        <f>2301632583.73</f>
        <v>2301632583.73</v>
      </c>
      <c r="E116" s="47">
        <f t="shared" si="13"/>
        <v>22.984103869868751</v>
      </c>
      <c r="F116" s="43">
        <f t="shared" si="14"/>
        <v>98.727333594002971</v>
      </c>
    </row>
    <row r="117" spans="2:8" ht="25.5" x14ac:dyDescent="0.2">
      <c r="B117" s="66" t="s">
        <v>67</v>
      </c>
      <c r="C117" s="84">
        <f>2886138184.53</f>
        <v>2886138184.5300002</v>
      </c>
      <c r="D117" s="74">
        <f>843811218.11</f>
        <v>843811218.11000001</v>
      </c>
      <c r="E117" s="48">
        <f t="shared" ref="E117:E122" si="15">IF($D$117=0,"",100*$D117/$D$117)</f>
        <v>100</v>
      </c>
      <c r="F117" s="36">
        <f t="shared" si="14"/>
        <v>29.236688064102946</v>
      </c>
    </row>
    <row r="118" spans="2:8" ht="22.5" x14ac:dyDescent="0.2">
      <c r="B118" s="98" t="s">
        <v>94</v>
      </c>
      <c r="C118" s="83">
        <f>2708917630.53</f>
        <v>2708917630.5300002</v>
      </c>
      <c r="D118" s="70">
        <f>601634658.36</f>
        <v>601634658.36000001</v>
      </c>
      <c r="E118" s="47">
        <f t="shared" si="15"/>
        <v>71.299675264754583</v>
      </c>
      <c r="F118" s="43">
        <f t="shared" si="14"/>
        <v>22.209411300641506</v>
      </c>
    </row>
    <row r="119" spans="2:8" ht="12.95" customHeight="1" x14ac:dyDescent="0.2">
      <c r="B119" s="99" t="s">
        <v>95</v>
      </c>
      <c r="C119" s="83">
        <f>181116000</f>
        <v>181116000</v>
      </c>
      <c r="D119" s="70">
        <f>0</f>
        <v>0</v>
      </c>
      <c r="E119" s="47">
        <f t="shared" si="15"/>
        <v>0</v>
      </c>
      <c r="F119" s="43">
        <f t="shared" si="14"/>
        <v>0</v>
      </c>
    </row>
    <row r="120" spans="2:8" ht="12.95" customHeight="1" x14ac:dyDescent="0.2">
      <c r="B120" s="98" t="s">
        <v>110</v>
      </c>
      <c r="C120" s="83">
        <f>50839488</f>
        <v>50839488</v>
      </c>
      <c r="D120" s="70">
        <f>19506858.75</f>
        <v>19506858.75</v>
      </c>
      <c r="E120" s="47">
        <f t="shared" si="15"/>
        <v>2.3117562709929591</v>
      </c>
      <c r="F120" s="43">
        <f t="shared" si="14"/>
        <v>38.369502757384183</v>
      </c>
    </row>
    <row r="121" spans="2:8" ht="12.95" customHeight="1" x14ac:dyDescent="0.2">
      <c r="B121" s="98" t="s">
        <v>121</v>
      </c>
      <c r="C121" s="83">
        <f>126381066</f>
        <v>126381066</v>
      </c>
      <c r="D121" s="70">
        <f>222669701</f>
        <v>222669701</v>
      </c>
      <c r="E121" s="47">
        <f t="shared" si="15"/>
        <v>26.388568464252458</v>
      </c>
      <c r="F121" s="43">
        <f t="shared" si="14"/>
        <v>176.18913026101552</v>
      </c>
    </row>
    <row r="122" spans="2:8" ht="22.5" x14ac:dyDescent="0.2">
      <c r="B122" s="108" t="s">
        <v>122</v>
      </c>
      <c r="C122" s="83">
        <f>0</f>
        <v>0</v>
      </c>
      <c r="D122" s="70">
        <f>0</f>
        <v>0</v>
      </c>
      <c r="E122" s="47">
        <f t="shared" si="15"/>
        <v>0</v>
      </c>
      <c r="F122" s="43" t="str">
        <f t="shared" si="14"/>
        <v/>
      </c>
    </row>
    <row r="123" spans="2:8" x14ac:dyDescent="0.2">
      <c r="B123" s="26"/>
      <c r="C123" s="26"/>
      <c r="D123" s="26"/>
      <c r="E123" s="26"/>
      <c r="F123" s="26"/>
      <c r="G123" s="26"/>
      <c r="H123" s="26"/>
    </row>
    <row r="124" spans="2:8" x14ac:dyDescent="0.2">
      <c r="B124" s="13" t="s">
        <v>14</v>
      </c>
      <c r="C124" s="11" t="s">
        <v>15</v>
      </c>
      <c r="D124" s="11" t="s">
        <v>1</v>
      </c>
      <c r="E124" s="60"/>
    </row>
    <row r="125" spans="2:8" x14ac:dyDescent="0.2">
      <c r="B125" s="13"/>
      <c r="C125" s="126" t="s">
        <v>78</v>
      </c>
      <c r="D125" s="127"/>
      <c r="E125" s="60"/>
    </row>
    <row r="126" spans="2:8" x14ac:dyDescent="0.2">
      <c r="B126" s="11">
        <v>1</v>
      </c>
      <c r="C126" s="11">
        <v>2</v>
      </c>
      <c r="D126" s="11">
        <v>3</v>
      </c>
      <c r="E126" s="60"/>
    </row>
    <row r="127" spans="2:8" ht="36" customHeight="1" x14ac:dyDescent="0.2">
      <c r="B127" s="64" t="s">
        <v>124</v>
      </c>
      <c r="C127" s="83">
        <f>17504905524.05</f>
        <v>17504905524.049999</v>
      </c>
      <c r="D127" s="70">
        <f>0</f>
        <v>0</v>
      </c>
      <c r="E127" s="60"/>
    </row>
    <row r="128" spans="2:8" ht="33.75" x14ac:dyDescent="0.2">
      <c r="B128" s="103" t="s">
        <v>80</v>
      </c>
      <c r="C128" s="83">
        <f>1332640062</f>
        <v>1332640062</v>
      </c>
      <c r="D128" s="70">
        <f>0</f>
        <v>0</v>
      </c>
      <c r="E128" s="60"/>
    </row>
    <row r="129" spans="2:8" ht="12.95" customHeight="1" x14ac:dyDescent="0.2">
      <c r="B129" s="103" t="s">
        <v>81</v>
      </c>
      <c r="C129" s="83">
        <f>9140716953.29</f>
        <v>9140716953.2900009</v>
      </c>
      <c r="D129" s="70">
        <f>0</f>
        <v>0</v>
      </c>
      <c r="E129" s="60"/>
    </row>
    <row r="130" spans="2:8" ht="22.5" x14ac:dyDescent="0.2">
      <c r="B130" s="103" t="s">
        <v>82</v>
      </c>
      <c r="C130" s="83">
        <f>22960000</f>
        <v>22960000</v>
      </c>
      <c r="D130" s="70">
        <f>0</f>
        <v>0</v>
      </c>
      <c r="E130" s="60"/>
    </row>
    <row r="131" spans="2:8" ht="58.5" customHeight="1" x14ac:dyDescent="0.2">
      <c r="B131" s="103" t="s">
        <v>104</v>
      </c>
      <c r="C131" s="83">
        <f>31952093.18</f>
        <v>31952093.18</v>
      </c>
      <c r="D131" s="70">
        <f>0</f>
        <v>0</v>
      </c>
      <c r="E131" s="60"/>
    </row>
    <row r="132" spans="2:8" ht="78.75" x14ac:dyDescent="0.2">
      <c r="B132" s="103" t="s">
        <v>83</v>
      </c>
      <c r="C132" s="83">
        <f>3763525837.75</f>
        <v>3763525837.75</v>
      </c>
      <c r="D132" s="70">
        <f>0</f>
        <v>0</v>
      </c>
      <c r="E132" s="60"/>
    </row>
    <row r="133" spans="2:8" ht="147" customHeight="1" x14ac:dyDescent="0.2">
      <c r="B133" s="103" t="s">
        <v>102</v>
      </c>
      <c r="C133" s="83">
        <f>879056968.01</f>
        <v>879056968.00999999</v>
      </c>
      <c r="D133" s="70">
        <f>0</f>
        <v>0</v>
      </c>
      <c r="E133" s="35"/>
    </row>
    <row r="134" spans="2:8" ht="22.5" x14ac:dyDescent="0.2">
      <c r="B134" s="103" t="s">
        <v>103</v>
      </c>
      <c r="C134" s="83">
        <f>18443160.76</f>
        <v>18443160.760000002</v>
      </c>
      <c r="D134" s="70">
        <f>0</f>
        <v>0</v>
      </c>
      <c r="E134" s="35"/>
    </row>
    <row r="135" spans="2:8" ht="22.5" x14ac:dyDescent="0.2">
      <c r="B135" s="109" t="s">
        <v>120</v>
      </c>
      <c r="C135" s="83">
        <f>2315610449.06</f>
        <v>2315610449.0599999</v>
      </c>
      <c r="D135" s="70">
        <f>0</f>
        <v>0</v>
      </c>
      <c r="E135" s="35"/>
    </row>
    <row r="136" spans="2:8" x14ac:dyDescent="0.2">
      <c r="B136" s="49"/>
      <c r="C136" s="41"/>
      <c r="D136" s="41"/>
      <c r="E136" s="41"/>
      <c r="F136" s="41"/>
      <c r="G136" s="41"/>
      <c r="H136" s="41"/>
    </row>
    <row r="137" spans="2:8" ht="12" customHeight="1" x14ac:dyDescent="0.2">
      <c r="B137" s="50" t="s">
        <v>68</v>
      </c>
      <c r="C137" s="50">
        <f>1</f>
        <v>1</v>
      </c>
      <c r="D137" s="50" t="str">
        <f>IF(C137=1,"I Kwartał",IF(C137=2,"II Kwartały",IF(C137=3,"III Kwartały",IF(C137=4,"IV Kwartały",IF(C137="M1","Styczeń",IF(C137="M11","Listopad",IF(C137="M12","Grudzień","-")))))))</f>
        <v>I Kwartał</v>
      </c>
    </row>
    <row r="138" spans="2:8" x14ac:dyDescent="0.2">
      <c r="B138" s="50" t="s">
        <v>69</v>
      </c>
      <c r="C138" s="85">
        <f>2023</f>
        <v>2023</v>
      </c>
      <c r="D138" s="49"/>
    </row>
    <row r="139" spans="2:8" x14ac:dyDescent="0.2">
      <c r="B139" s="50" t="s">
        <v>70</v>
      </c>
      <c r="C139" s="130" t="str">
        <f>"May 26 2023 12:00AM"</f>
        <v>May 26 2023 12:00AM</v>
      </c>
      <c r="D139" s="131"/>
    </row>
    <row r="140" spans="2:8" hidden="1" x14ac:dyDescent="0.2">
      <c r="B140" s="50" t="s">
        <v>73</v>
      </c>
      <c r="C140" s="86" t="str">
        <f>""</f>
        <v/>
      </c>
      <c r="D140" s="49"/>
    </row>
  </sheetData>
  <mergeCells count="20">
    <mergeCell ref="C139:D139"/>
    <mergeCell ref="I93:J93"/>
    <mergeCell ref="D78:D80"/>
    <mergeCell ref="E78:E80"/>
    <mergeCell ref="C104:D104"/>
    <mergeCell ref="C125:D125"/>
    <mergeCell ref="E104:F104"/>
    <mergeCell ref="J81:K81"/>
    <mergeCell ref="B2:B3"/>
    <mergeCell ref="C78:C80"/>
    <mergeCell ref="B78:B81"/>
    <mergeCell ref="J78:J80"/>
    <mergeCell ref="K78:K80"/>
    <mergeCell ref="F79:F80"/>
    <mergeCell ref="F78:H78"/>
    <mergeCell ref="I78:I80"/>
    <mergeCell ref="C81:I81"/>
    <mergeCell ref="J3:L3"/>
    <mergeCell ref="C3:I3"/>
    <mergeCell ref="G79:H79"/>
  </mergeCells>
  <phoneticPr fontId="0" type="noConversion"/>
  <pageMargins left="0.19685039370078741" right="0.19685039370078741" top="0.39370078740157483" bottom="0.39370078740157483" header="0.31496062992125984" footer="0.19685039370078741"/>
  <pageSetup paperSize="9" scale="85" fitToWidth="2" fitToHeight="2" orientation="landscape" useFirstPageNumber="1" r:id="rId1"/>
  <headerFooter alignWithMargins="0">
    <oddFooter>&amp;RStrona &amp;P z &amp;N</oddFooter>
  </headerFooter>
  <rowBreaks count="5" manualBreakCount="5">
    <brk id="22" max="16383" man="1"/>
    <brk id="59" max="12" man="1"/>
    <brk id="75" max="16383" man="1"/>
    <brk id="100" max="16383" man="1"/>
    <brk id="1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2022-10-25T14:05:09Z</cp:lastPrinted>
  <dcterms:created xsi:type="dcterms:W3CDTF">2001-05-17T08:58:03Z</dcterms:created>
  <dcterms:modified xsi:type="dcterms:W3CDTF">2023-06-01T13:57:03Z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2022-06-01T15:12:31.7108919+02:00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GRN-2cd18ff7-932d-4776-b890-6d741b929fdc</vt:lpwstr>
  </property>
  <property fmtid="{D5CDD505-2E9C-101B-9397-08002B2CF9AE}" pid="7" name="MFHash">
    <vt:lpwstr>OTgls01WM3N6lxmUY94TawYv0KG6fXLBz/RcoeeeVtg=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