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<sst xmlns="http://schemas.openxmlformats.org/spreadsheetml/2006/main" count="261" uniqueCount="114">
  <si>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</si>
  <si>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</si>
  <si>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</si>
  <si>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</si>
  <si>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</si>
  <si>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</si>
  <si>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</si>
  <si>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</si>
  <si>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</si>
  <si>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</si>
  <si>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</si>
  <si>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</si>
  <si>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</si>
  <si>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</si>
  <si>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</si>
  <si>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</si>
  <si>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</si>
  <si>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</si>
  <si>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</si>
  <si>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</si>
  <si>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</si>
  <si>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</si>
  <si>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</si>
  <si>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</si>
  <si>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</si>
  <si>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</si>
  <si>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</si>
  <si>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</si>
  <si>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</si>
  <si>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</si>
  <si>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</si>
  <si>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</si>
  <si>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</si>
  <si>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</si>
  <si>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</si>
  <si>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</si>
  <si>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</si>
  <si>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</si>
  <si>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</si>
  <si>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</si>
  <si>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</si>
  <si>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</si>
  <si>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</si>
  <si>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</si>
  <si>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</si>
  <si>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</si>
  <si>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</si>
  <si>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</si>
  <si>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</si>
  <si>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</si>
  <si>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</si>
  <si>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</si>
  <si>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</si>
  <si>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</si>
  <si>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</si>
  <si>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</si>
  <si>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</si>
  <si>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</si>
  <si>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</si>
  <si>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</si>
  <si>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</si>
  <si>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</si>
  <si>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</si>
  <si>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</si>
  <si>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</si>
  <si>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</si>
  <si>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</si>
  <si>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</si>
  <si>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</si>
  <si>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</si>
  <si>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z tego: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</si>
  <si>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</si>
  <si>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</si>
  <si>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</si>
  <si>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>UE</t>
  </si>
  <si>
    <t>WYDATKI OGÓŁEM UE
z tego:</t>
  </si>
  <si>
    <t>majątkowe</t>
  </si>
  <si>
    <t>bieżące</t>
  </si>
  <si>
    <t>wydatki majątkowe</t>
  </si>
  <si>
    <t>wydatki bieżące</t>
  </si>
  <si>
    <t>Dochody bieżące 
minus 
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</si>
  <si>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</si>
  <si>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</si>
  <si>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</si>
  <si>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</si>
  <si>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</si>
  <si>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</si>
  <si>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</si>
  <si>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</si>
  <si>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</si>
  <si>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</si>
  <si>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</si>
  <si>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</si>
  <si>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</si>
  <si>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</si>
  <si>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</si>
  <si>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</si>
  <si>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</si>
  <si>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</si>
  <si>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</si>
  <si>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</si>
  <si>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</si>
  <si>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</si>
  <si>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</si>
  <si>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</si>
  <si>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</si>
  <si>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</si>
  <si>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</si>
  <si>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</si>
  <si>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</si>
  <si>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</si>
  <si>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</si>
  <si>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</si>
  <si>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>Informacja z wykonania budżetów jednostek samorządu terytorialnego za II Kwartały 2019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</si>
</sst>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1" borderId="21" xfId="0" applyNumberFormat="1" applyFont="1" applyFill="1" applyBorder="1" applyAlignment="1">
      <alignment horizontal="right" vertical="center"/>
    </xf>
    <xf numFmtId="4" fontId="7" fillId="51" borderId="20" xfId="0" applyNumberFormat="1" applyFont="1" applyFill="1" applyBorder="1" applyAlignment="1">
      <alignment horizontal="right" vertical="center"/>
    </xf>
    <xf numFmtId="4" fontId="12" fillId="52" borderId="20" xfId="0" applyNumberFormat="1" applyFont="1" applyFill="1" applyBorder="1" applyAlignment="1">
      <alignment horizontal="right" vertical="center"/>
    </xf>
    <xf numFmtId="4" fontId="12" fillId="52" borderId="21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3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7" fillId="0" borderId="19" xfId="91" applyFont="1" applyFill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2" fillId="40" borderId="20" xfId="0" applyNumberFormat="1" applyFont="1" applyFill="1" applyBorder="1" applyAlignment="1">
      <alignment vertical="center" wrapText="1"/>
    </xf>
    <xf numFmtId="4" fontId="12" fillId="40" borderId="21" xfId="0" applyNumberFormat="1" applyFont="1" applyFill="1" applyBorder="1" applyAlignment="1">
      <alignment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2" fillId="52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4" fillId="29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02" t="s">
        <v>113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12.75"/>
    <row r="3" spans="2:13" ht="66.75" customHeight="1">
      <c r="B3" s="98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98"/>
      <c r="C4" s="99" t="s">
        <v>81</v>
      </c>
      <c r="D4" s="99"/>
      <c r="E4" s="99"/>
      <c r="F4" s="99"/>
      <c r="G4" s="99"/>
      <c r="H4" s="99"/>
      <c r="I4" s="99"/>
      <c r="J4" s="99"/>
      <c r="K4" s="99" t="s">
        <v>4</v>
      </c>
      <c r="L4" s="99"/>
      <c r="M4" s="99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25.5" customHeight="1">
      <c r="B6" s="68" t="s">
        <v>5</v>
      </c>
      <c r="C6" s="69">
        <f>267394660229.41</f>
        <v>267394660229.41</v>
      </c>
      <c r="D6" s="69">
        <f>134156875020.42</f>
        <v>134156875020.42</v>
      </c>
      <c r="E6" s="69">
        <f>126966136999.74</f>
        <v>126966136999.74</v>
      </c>
      <c r="F6" s="69">
        <f>1736531181.61</f>
        <v>1736531181.61</v>
      </c>
      <c r="G6" s="69">
        <f>390290706.19</f>
        <v>390290706.19</v>
      </c>
      <c r="H6" s="69">
        <f>46577440.22</f>
        <v>46577440.22</v>
      </c>
      <c r="I6" s="69">
        <f>162934114.33</f>
        <v>162934114.33</v>
      </c>
      <c r="J6" s="69">
        <f>1109821.63</f>
        <v>1109821.63</v>
      </c>
      <c r="K6" s="70">
        <f aca="true" t="shared" si="0" ref="K6:K46">IF($D$6=0,"",100*$D6/$D$6)</f>
        <v>100</v>
      </c>
      <c r="L6" s="70">
        <f aca="true" t="shared" si="1" ref="L6:L50">IF(C6=0,"",100*D6/C6)</f>
        <v>50.171860165539854</v>
      </c>
      <c r="M6" s="70"/>
    </row>
    <row r="7" spans="2:13" ht="38.25" customHeight="1">
      <c r="B7" s="20" t="s">
        <v>62</v>
      </c>
      <c r="C7" s="25">
        <f>C6-C22-C40</f>
        <v>130915378013.20001</v>
      </c>
      <c r="D7" s="25">
        <f>D6-D22-D40</f>
        <v>65750147670.12999</v>
      </c>
      <c r="E7" s="25">
        <f>E6-E22-E40</f>
        <v>62283295847.59001</v>
      </c>
      <c r="F7" s="25">
        <f>F6</f>
        <v>1736531181.61</v>
      </c>
      <c r="G7" s="25">
        <f>G6</f>
        <v>390290706.19</v>
      </c>
      <c r="H7" s="25">
        <f>H6</f>
        <v>46577440.22</v>
      </c>
      <c r="I7" s="25">
        <f>I6</f>
        <v>162934114.33</v>
      </c>
      <c r="J7" s="25">
        <f>J6</f>
        <v>1109821.63</v>
      </c>
      <c r="K7" s="31">
        <f t="shared" si="0"/>
        <v>49.00989804668763</v>
      </c>
      <c r="L7" s="31">
        <f t="shared" si="1"/>
        <v>50.223395194642826</v>
      </c>
      <c r="M7" s="31">
        <f aca="true" t="shared" si="2" ref="M7:M21">IF($D$7=0,"",100*$D7/$D$7)</f>
        <v>100</v>
      </c>
    </row>
    <row r="8" spans="2:13" ht="32.25" customHeight="1">
      <c r="B8" s="21" t="s">
        <v>35</v>
      </c>
      <c r="C8" s="23">
        <f>9668070007.62</f>
        <v>9668070007.62</v>
      </c>
      <c r="D8" s="23">
        <f>6167271967.28</f>
        <v>6167271967.28</v>
      </c>
      <c r="E8" s="23">
        <f>6281031438.41</f>
        <v>6281031438.41</v>
      </c>
      <c r="F8" s="23">
        <f>0</f>
        <v>0</v>
      </c>
      <c r="G8" s="23">
        <f>0</f>
        <v>0</v>
      </c>
      <c r="H8" s="23">
        <f>0</f>
        <v>0</v>
      </c>
      <c r="I8" s="23">
        <f>0</f>
        <v>0</v>
      </c>
      <c r="J8" s="24">
        <f>0</f>
        <v>0</v>
      </c>
      <c r="K8" s="32">
        <f t="shared" si="0"/>
        <v>4.5970599466790505</v>
      </c>
      <c r="L8" s="32">
        <f t="shared" si="1"/>
        <v>63.790104565018595</v>
      </c>
      <c r="M8" s="32">
        <f t="shared" si="2"/>
        <v>9.37986025251433</v>
      </c>
    </row>
    <row r="9" spans="2:13" ht="32.25" customHeight="1">
      <c r="B9" s="21" t="s">
        <v>19</v>
      </c>
      <c r="C9" s="23">
        <f>55529510738.77</f>
        <v>55529510738.77</v>
      </c>
      <c r="D9" s="23">
        <f>26027334746</f>
        <v>26027334746</v>
      </c>
      <c r="E9" s="23">
        <f>22494752472.75</f>
        <v>22494752472.75</v>
      </c>
      <c r="F9" s="23">
        <f>0</f>
        <v>0</v>
      </c>
      <c r="G9" s="23">
        <f>0</f>
        <v>0</v>
      </c>
      <c r="H9" s="23">
        <f>0</f>
        <v>0</v>
      </c>
      <c r="I9" s="23">
        <f>0</f>
        <v>0</v>
      </c>
      <c r="J9" s="24">
        <f>0</f>
        <v>0</v>
      </c>
      <c r="K9" s="32">
        <f t="shared" si="0"/>
        <v>19.40067159587489</v>
      </c>
      <c r="L9" s="32">
        <f t="shared" si="1"/>
        <v>46.87117606427612</v>
      </c>
      <c r="M9" s="32">
        <f t="shared" si="2"/>
        <v>39.58521108816324</v>
      </c>
    </row>
    <row r="10" spans="2:13" ht="32.25" customHeight="1">
      <c r="B10" s="21" t="s">
        <v>20</v>
      </c>
      <c r="C10" s="23">
        <f>1551682032.05</f>
        <v>1551682032.05</v>
      </c>
      <c r="D10" s="23">
        <f>902219939.53</f>
        <v>902219939.53</v>
      </c>
      <c r="E10" s="23">
        <f>901983160.63</f>
        <v>901983160.63</v>
      </c>
      <c r="F10" s="23">
        <f>69075633.57</f>
        <v>69075633.57</v>
      </c>
      <c r="G10" s="23">
        <f>1277991.07</f>
        <v>1277991.07</v>
      </c>
      <c r="H10" s="23">
        <f>4760786.38</f>
        <v>4760786.38</v>
      </c>
      <c r="I10" s="23">
        <f>3824295.95</f>
        <v>3824295.95</v>
      </c>
      <c r="J10" s="24">
        <f>2329.31</f>
        <v>2329.31</v>
      </c>
      <c r="K10" s="32">
        <f t="shared" si="0"/>
        <v>0.6725111474105768</v>
      </c>
      <c r="L10" s="32">
        <f t="shared" si="1"/>
        <v>58.14464051878173</v>
      </c>
      <c r="M10" s="32">
        <f t="shared" si="2"/>
        <v>1.3721945448038508</v>
      </c>
    </row>
    <row r="11" spans="2:13" ht="32.25" customHeight="1">
      <c r="B11" s="21" t="s">
        <v>21</v>
      </c>
      <c r="C11" s="23">
        <f>22987112632.84</f>
        <v>22987112632.84</v>
      </c>
      <c r="D11" s="23">
        <f>12206546196.56</f>
        <v>12206546196.56</v>
      </c>
      <c r="E11" s="23">
        <f>12202068475.05</f>
        <v>12202068475.05</v>
      </c>
      <c r="F11" s="23">
        <f>1173714541.52</f>
        <v>1173714541.52</v>
      </c>
      <c r="G11" s="23">
        <f>384385411.94</f>
        <v>384385411.94</v>
      </c>
      <c r="H11" s="23">
        <f>32313960.87</f>
        <v>32313960.87</v>
      </c>
      <c r="I11" s="23">
        <f>130035366.65</f>
        <v>130035366.65</v>
      </c>
      <c r="J11" s="24">
        <f>873658.59</f>
        <v>873658.59</v>
      </c>
      <c r="K11" s="32">
        <f t="shared" si="0"/>
        <v>9.09871088954781</v>
      </c>
      <c r="L11" s="32">
        <f t="shared" si="1"/>
        <v>53.10169394272425</v>
      </c>
      <c r="M11" s="32">
        <f t="shared" si="2"/>
        <v>18.565047576471652</v>
      </c>
    </row>
    <row r="12" spans="2:13" ht="32.25" customHeight="1">
      <c r="B12" s="21" t="s">
        <v>22</v>
      </c>
      <c r="C12" s="23">
        <f>298463801.66</f>
        <v>298463801.66</v>
      </c>
      <c r="D12" s="23">
        <f>163803934.73</f>
        <v>163803934.73</v>
      </c>
      <c r="E12" s="23">
        <f>163764014.35</f>
        <v>163764014.35</v>
      </c>
      <c r="F12" s="23">
        <f>1214895.17</f>
        <v>1214895.17</v>
      </c>
      <c r="G12" s="23">
        <f>258808.61</f>
        <v>258808.61</v>
      </c>
      <c r="H12" s="23">
        <f>84494.83</f>
        <v>84494.83</v>
      </c>
      <c r="I12" s="23">
        <f>31052.74</f>
        <v>31052.74</v>
      </c>
      <c r="J12" s="24">
        <f>70.03</f>
        <v>70.03</v>
      </c>
      <c r="K12" s="32">
        <f t="shared" si="0"/>
        <v>0.1220988001584469</v>
      </c>
      <c r="L12" s="32">
        <f t="shared" si="1"/>
        <v>54.882345470021164</v>
      </c>
      <c r="M12" s="32">
        <f t="shared" si="2"/>
        <v>0.24913090013395575</v>
      </c>
    </row>
    <row r="13" spans="2:13" ht="32.25" customHeight="1">
      <c r="B13" s="21" t="s">
        <v>23</v>
      </c>
      <c r="C13" s="23">
        <f>1157321335.51</f>
        <v>1157321335.51</v>
      </c>
      <c r="D13" s="23">
        <f>613201998.79</f>
        <v>613201998.79</v>
      </c>
      <c r="E13" s="23">
        <f>613088924.41</f>
        <v>613088924.41</v>
      </c>
      <c r="F13" s="23">
        <f>485175675.19</f>
        <v>485175675.19</v>
      </c>
      <c r="G13" s="23">
        <f>1520637.18</f>
        <v>1520637.18</v>
      </c>
      <c r="H13" s="23">
        <f>2015193.13</f>
        <v>2015193.13</v>
      </c>
      <c r="I13" s="23">
        <f>8156283.72</f>
        <v>8156283.72</v>
      </c>
      <c r="J13" s="24">
        <f>4332.86</f>
        <v>4332.86</v>
      </c>
      <c r="K13" s="32">
        <f t="shared" si="0"/>
        <v>0.4570783261734925</v>
      </c>
      <c r="L13" s="32">
        <f t="shared" si="1"/>
        <v>52.98459295401986</v>
      </c>
      <c r="M13" s="32">
        <f t="shared" si="2"/>
        <v>0.9326245195165928</v>
      </c>
    </row>
    <row r="14" spans="2:13" ht="43.5" customHeight="1">
      <c r="B14" s="21" t="s">
        <v>46</v>
      </c>
      <c r="C14" s="23">
        <f>69797140.46</f>
        <v>69797140.46</v>
      </c>
      <c r="D14" s="23">
        <f>27509474.71</f>
        <v>27509474.71</v>
      </c>
      <c r="E14" s="23">
        <f>27614646.6</f>
        <v>27614646.6</v>
      </c>
      <c r="F14" s="23">
        <f>0</f>
        <v>0</v>
      </c>
      <c r="G14" s="23">
        <f>0</f>
        <v>0</v>
      </c>
      <c r="H14" s="23">
        <f>76529.9</f>
        <v>76529.9</v>
      </c>
      <c r="I14" s="23">
        <f>269781.82</f>
        <v>269781.82</v>
      </c>
      <c r="J14" s="24">
        <f>1</f>
        <v>1</v>
      </c>
      <c r="K14" s="32">
        <f t="shared" si="0"/>
        <v>0.020505452818435722</v>
      </c>
      <c r="L14" s="32">
        <f t="shared" si="1"/>
        <v>39.41346956150072</v>
      </c>
      <c r="M14" s="32">
        <f t="shared" si="2"/>
        <v>0.04183941129382047</v>
      </c>
    </row>
    <row r="15" spans="2:13" ht="32.25" customHeight="1">
      <c r="B15" s="21" t="s">
        <v>28</v>
      </c>
      <c r="C15" s="23">
        <f>276629919.45</f>
        <v>276629919.45</v>
      </c>
      <c r="D15" s="23">
        <f>161187480.19</f>
        <v>161187480.19</v>
      </c>
      <c r="E15" s="23">
        <f>159191296.09</f>
        <v>159191296.09</v>
      </c>
      <c r="F15" s="23">
        <f>0</f>
        <v>0</v>
      </c>
      <c r="G15" s="23">
        <f>0</f>
        <v>0</v>
      </c>
      <c r="H15" s="23">
        <f>2641250.74</f>
        <v>2641250.74</v>
      </c>
      <c r="I15" s="23">
        <f>6233970.29</f>
        <v>6233970.29</v>
      </c>
      <c r="J15" s="24">
        <f>0</f>
        <v>0</v>
      </c>
      <c r="K15" s="32">
        <f t="shared" si="0"/>
        <v>0.12014850537139127</v>
      </c>
      <c r="L15" s="32">
        <f t="shared" si="1"/>
        <v>58.26827427433573</v>
      </c>
      <c r="M15" s="32">
        <f t="shared" si="2"/>
        <v>0.24515151053147638</v>
      </c>
    </row>
    <row r="16" spans="2:13" ht="32.25" customHeight="1">
      <c r="B16" s="21" t="s">
        <v>29</v>
      </c>
      <c r="C16" s="23">
        <f>2400568711.06</f>
        <v>2400568711.06</v>
      </c>
      <c r="D16" s="23">
        <f>1381576633.85</f>
        <v>1381576633.85</v>
      </c>
      <c r="E16" s="23">
        <f>1378437916.06</f>
        <v>1378437916.06</v>
      </c>
      <c r="F16" s="23">
        <f>0</f>
        <v>0</v>
      </c>
      <c r="G16" s="23">
        <f>0</f>
        <v>0</v>
      </c>
      <c r="H16" s="23">
        <f>37613.01</f>
        <v>37613.01</v>
      </c>
      <c r="I16" s="23">
        <f>436367.77</f>
        <v>436367.77</v>
      </c>
      <c r="J16" s="24">
        <f>0</f>
        <v>0</v>
      </c>
      <c r="K16" s="32">
        <f t="shared" si="0"/>
        <v>1.0298217170306854</v>
      </c>
      <c r="L16" s="32">
        <f t="shared" si="1"/>
        <v>57.55205537274325</v>
      </c>
      <c r="M16" s="32">
        <f t="shared" si="2"/>
        <v>2.101252518521178</v>
      </c>
    </row>
    <row r="17" spans="2:13" ht="32.25" customHeight="1">
      <c r="B17" s="21" t="s">
        <v>30</v>
      </c>
      <c r="C17" s="23">
        <f>474178464.99</f>
        <v>474178464.99</v>
      </c>
      <c r="D17" s="23">
        <f>258948366.62</f>
        <v>258948366.62</v>
      </c>
      <c r="E17" s="23">
        <f>258647160.37</f>
        <v>258647160.37</v>
      </c>
      <c r="F17" s="23">
        <f>0</f>
        <v>0</v>
      </c>
      <c r="G17" s="23">
        <f>0</f>
        <v>0</v>
      </c>
      <c r="H17" s="23">
        <f>9608</f>
        <v>9608</v>
      </c>
      <c r="I17" s="23">
        <f>3125</f>
        <v>3125</v>
      </c>
      <c r="J17" s="24">
        <f>0</f>
        <v>0</v>
      </c>
      <c r="K17" s="32">
        <f t="shared" si="0"/>
        <v>0.19301908052090921</v>
      </c>
      <c r="L17" s="32">
        <f t="shared" si="1"/>
        <v>54.609896007289365</v>
      </c>
      <c r="M17" s="32">
        <f t="shared" si="2"/>
        <v>0.39383693542279163</v>
      </c>
    </row>
    <row r="18" spans="2:13" ht="32.25" customHeight="1">
      <c r="B18" s="21" t="s">
        <v>31</v>
      </c>
      <c r="C18" s="23">
        <f>427650003.94</f>
        <v>427650003.94</v>
      </c>
      <c r="D18" s="23">
        <f>225166155.56</f>
        <v>225166155.56</v>
      </c>
      <c r="E18" s="23">
        <f>225187836.36</f>
        <v>225187836.36</v>
      </c>
      <c r="F18" s="23">
        <f>0</f>
        <v>0</v>
      </c>
      <c r="G18" s="23">
        <f>88880.4</f>
        <v>88880.4</v>
      </c>
      <c r="H18" s="23">
        <f>0</f>
        <v>0</v>
      </c>
      <c r="I18" s="23">
        <f>85800.94</f>
        <v>85800.94</v>
      </c>
      <c r="J18" s="24">
        <f>0</f>
        <v>0</v>
      </c>
      <c r="K18" s="32">
        <f t="shared" si="0"/>
        <v>0.1678379550252102</v>
      </c>
      <c r="L18" s="32">
        <f t="shared" si="1"/>
        <v>52.651970884020194</v>
      </c>
      <c r="M18" s="32">
        <f t="shared" si="2"/>
        <v>0.3424572621337123</v>
      </c>
    </row>
    <row r="19" spans="2:13" ht="32.25" customHeight="1">
      <c r="B19" s="21" t="s">
        <v>32</v>
      </c>
      <c r="C19" s="23">
        <f>140348045.8</f>
        <v>140348045.8</v>
      </c>
      <c r="D19" s="23">
        <f>58841921.59</f>
        <v>58841921.59</v>
      </c>
      <c r="E19" s="23">
        <f>58778180.19</f>
        <v>58778180.19</v>
      </c>
      <c r="F19" s="23">
        <f>898539.99</f>
        <v>898539.99</v>
      </c>
      <c r="G19" s="23">
        <f>20059.4</f>
        <v>20059.4</v>
      </c>
      <c r="H19" s="23">
        <f>5398</f>
        <v>5398</v>
      </c>
      <c r="I19" s="23">
        <f>2795</f>
        <v>2795</v>
      </c>
      <c r="J19" s="24">
        <f>0</f>
        <v>0</v>
      </c>
      <c r="K19" s="32">
        <f t="shared" si="0"/>
        <v>0.043860533857130825</v>
      </c>
      <c r="L19" s="32">
        <f t="shared" si="1"/>
        <v>41.92571492862211</v>
      </c>
      <c r="M19" s="32">
        <f t="shared" si="2"/>
        <v>0.08949321587110538</v>
      </c>
    </row>
    <row r="20" spans="2:13" ht="32.25" customHeight="1">
      <c r="B20" s="21" t="s">
        <v>24</v>
      </c>
      <c r="C20" s="23">
        <f>8575643711.2</f>
        <v>8575643711.2</v>
      </c>
      <c r="D20" s="23">
        <f>3283940842.61</f>
        <v>3283940842.61</v>
      </c>
      <c r="E20" s="23">
        <f>3276138921.74</f>
        <v>3276138921.74</v>
      </c>
      <c r="F20" s="23">
        <f>0</f>
        <v>0</v>
      </c>
      <c r="G20" s="23">
        <f>70360.44</f>
        <v>70360.44</v>
      </c>
      <c r="H20" s="23">
        <f>0</f>
        <v>0</v>
      </c>
      <c r="I20" s="23">
        <f>144868.1</f>
        <v>144868.1</v>
      </c>
      <c r="J20" s="24">
        <f>5385.98</f>
        <v>5385.98</v>
      </c>
      <c r="K20" s="32">
        <f t="shared" si="0"/>
        <v>2.447836416963463</v>
      </c>
      <c r="L20" s="32">
        <f t="shared" si="1"/>
        <v>38.293811557505514</v>
      </c>
      <c r="M20" s="32">
        <f t="shared" si="2"/>
        <v>4.994575615382048</v>
      </c>
    </row>
    <row r="21" spans="2:13" ht="32.25" customHeight="1">
      <c r="B21" s="21" t="s">
        <v>25</v>
      </c>
      <c r="C21" s="23">
        <f>C7-C8-C9-C10-C11-C12-C13-C14-C15-C16-C17-C18-C19-C20</f>
        <v>27358401467.85001</v>
      </c>
      <c r="D21" s="23">
        <f aca="true" t="shared" si="3" ref="D21:J21">D7-D8-D9-D10-D11-D12-D13-D14-D15-D16-D17-D18-D19-D20</f>
        <v>14272598012.109997</v>
      </c>
      <c r="E21" s="23">
        <f t="shared" si="3"/>
        <v>14242611404.580011</v>
      </c>
      <c r="F21" s="23">
        <f t="shared" si="3"/>
        <v>6451896.169999966</v>
      </c>
      <c r="G21" s="23">
        <f t="shared" si="3"/>
        <v>2668557.1500000074</v>
      </c>
      <c r="H21" s="23">
        <f t="shared" si="3"/>
        <v>4632605.359999995</v>
      </c>
      <c r="I21" s="23">
        <f t="shared" si="3"/>
        <v>13710406.350000024</v>
      </c>
      <c r="J21" s="24">
        <f t="shared" si="3"/>
        <v>224043.85999999987</v>
      </c>
      <c r="K21" s="32">
        <f t="shared" si="0"/>
        <v>10.638737679256145</v>
      </c>
      <c r="L21" s="32">
        <f t="shared" si="1"/>
        <v>52.16897642533069</v>
      </c>
      <c r="M21" s="32">
        <f t="shared" si="2"/>
        <v>21.70732464924026</v>
      </c>
    </row>
    <row r="22" spans="2:13" ht="36.75" customHeight="1">
      <c r="B22" s="68" t="s">
        <v>70</v>
      </c>
      <c r="C22" s="69">
        <f>C23+C36+C38</f>
        <v>76302763831.62</v>
      </c>
      <c r="D22" s="69">
        <f>D23+D36+D38</f>
        <v>33141995844.290005</v>
      </c>
      <c r="E22" s="69">
        <f>E23+E36+E38</f>
        <v>32842287213.309998</v>
      </c>
      <c r="F22" s="72" t="s">
        <v>61</v>
      </c>
      <c r="G22" s="72" t="s">
        <v>61</v>
      </c>
      <c r="H22" s="72" t="s">
        <v>61</v>
      </c>
      <c r="I22" s="72" t="s">
        <v>61</v>
      </c>
      <c r="J22" s="72" t="s">
        <v>61</v>
      </c>
      <c r="K22" s="70">
        <f t="shared" si="0"/>
        <v>24.703911625286043</v>
      </c>
      <c r="L22" s="70">
        <f t="shared" si="1"/>
        <v>43.4348563276497</v>
      </c>
      <c r="M22" s="73"/>
    </row>
    <row r="23" spans="2:13" ht="36.75" customHeight="1">
      <c r="B23" s="68" t="s">
        <v>63</v>
      </c>
      <c r="C23" s="69">
        <f>C24+C26+C28+C30+C32+C34</f>
        <v>50146519317.78999</v>
      </c>
      <c r="D23" s="69">
        <f>D24+D26+D28+D30+D32+D34</f>
        <v>25864270233.690002</v>
      </c>
      <c r="E23" s="69">
        <f>E24+E26+E28+E30+E32+E34</f>
        <v>25721283793.6</v>
      </c>
      <c r="F23" s="72" t="s">
        <v>61</v>
      </c>
      <c r="G23" s="72" t="s">
        <v>61</v>
      </c>
      <c r="H23" s="72" t="s">
        <v>61</v>
      </c>
      <c r="I23" s="72" t="s">
        <v>61</v>
      </c>
      <c r="J23" s="72" t="s">
        <v>61</v>
      </c>
      <c r="K23" s="70">
        <f t="shared" si="0"/>
        <v>19.279123958241577</v>
      </c>
      <c r="L23" s="70">
        <f t="shared" si="1"/>
        <v>51.57739876178083</v>
      </c>
      <c r="M23" s="73"/>
    </row>
    <row r="24" spans="2:13" ht="33.75" customHeight="1">
      <c r="B24" s="71" t="s">
        <v>9</v>
      </c>
      <c r="C24" s="24">
        <f>39762774502.02</f>
        <v>39762774502.02</v>
      </c>
      <c r="D24" s="24">
        <f>22002953718.18</f>
        <v>22002953718.18</v>
      </c>
      <c r="E24" s="24">
        <f>21868688111.94</f>
        <v>21868688111.94</v>
      </c>
      <c r="F24" s="24" t="s">
        <v>61</v>
      </c>
      <c r="G24" s="24" t="s">
        <v>61</v>
      </c>
      <c r="H24" s="24" t="s">
        <v>61</v>
      </c>
      <c r="I24" s="24" t="s">
        <v>61</v>
      </c>
      <c r="J24" s="24" t="s">
        <v>61</v>
      </c>
      <c r="K24" s="32">
        <f t="shared" si="0"/>
        <v>16.40091401564842</v>
      </c>
      <c r="L24" s="32">
        <f t="shared" si="1"/>
        <v>55.335559436533345</v>
      </c>
      <c r="M24" s="28"/>
    </row>
    <row r="25" spans="2:13" ht="21" customHeight="1">
      <c r="B25" s="74" t="s">
        <v>6</v>
      </c>
      <c r="C25" s="24">
        <f>132925369.64</f>
        <v>132925369.64</v>
      </c>
      <c r="D25" s="24">
        <f>30516587.44</f>
        <v>30516587.44</v>
      </c>
      <c r="E25" s="24">
        <f>30515982.44</f>
        <v>30515982.44</v>
      </c>
      <c r="F25" s="24" t="s">
        <v>61</v>
      </c>
      <c r="G25" s="24" t="s">
        <v>61</v>
      </c>
      <c r="H25" s="24" t="s">
        <v>61</v>
      </c>
      <c r="I25" s="24" t="s">
        <v>61</v>
      </c>
      <c r="J25" s="24" t="s">
        <v>61</v>
      </c>
      <c r="K25" s="32">
        <f t="shared" si="0"/>
        <v>0.022746942663471457</v>
      </c>
      <c r="L25" s="32">
        <f t="shared" si="1"/>
        <v>22.957684844245808</v>
      </c>
      <c r="M25" s="28"/>
    </row>
    <row r="26" spans="2:13" ht="33.75" customHeight="1">
      <c r="B26" s="71" t="s">
        <v>7</v>
      </c>
      <c r="C26" s="24">
        <f>6981283554.13</f>
        <v>6981283554.13</v>
      </c>
      <c r="D26" s="24">
        <f>2797542800.79</f>
        <v>2797542800.79</v>
      </c>
      <c r="E26" s="24">
        <f>2790611370.54</f>
        <v>2790611370.54</v>
      </c>
      <c r="F26" s="24" t="s">
        <v>61</v>
      </c>
      <c r="G26" s="24" t="s">
        <v>61</v>
      </c>
      <c r="H26" s="24" t="s">
        <v>61</v>
      </c>
      <c r="I26" s="24" t="s">
        <v>61</v>
      </c>
      <c r="J26" s="24" t="s">
        <v>61</v>
      </c>
      <c r="K26" s="32">
        <f t="shared" si="0"/>
        <v>2.08527725497794</v>
      </c>
      <c r="L26" s="32">
        <f t="shared" si="1"/>
        <v>40.07204089475817</v>
      </c>
      <c r="M26" s="28"/>
    </row>
    <row r="27" spans="2:13" ht="21" customHeight="1">
      <c r="B27" s="74" t="s">
        <v>6</v>
      </c>
      <c r="C27" s="24">
        <f>1655738752.69</f>
        <v>1655738752.69</v>
      </c>
      <c r="D27" s="24">
        <f>71977880.54</f>
        <v>71977880.54</v>
      </c>
      <c r="E27" s="24">
        <f>71890350.82</f>
        <v>71890350.82</v>
      </c>
      <c r="F27" s="24" t="s">
        <v>61</v>
      </c>
      <c r="G27" s="24" t="s">
        <v>61</v>
      </c>
      <c r="H27" s="24" t="s">
        <v>61</v>
      </c>
      <c r="I27" s="24" t="s">
        <v>61</v>
      </c>
      <c r="J27" s="24" t="s">
        <v>61</v>
      </c>
      <c r="K27" s="32">
        <f t="shared" si="0"/>
        <v>0.05365202530920929</v>
      </c>
      <c r="L27" s="32">
        <f t="shared" si="1"/>
        <v>4.347176172754366</v>
      </c>
      <c r="M27" s="28"/>
    </row>
    <row r="28" spans="2:13" ht="39.75" customHeight="1">
      <c r="B28" s="71" t="s">
        <v>10</v>
      </c>
      <c r="C28" s="24">
        <f>201490542.01</f>
        <v>201490542.01</v>
      </c>
      <c r="D28" s="24">
        <f>79911205.07</f>
        <v>79911205.07</v>
      </c>
      <c r="E28" s="24">
        <f>78588720.71</f>
        <v>78588720.71</v>
      </c>
      <c r="F28" s="24" t="s">
        <v>61</v>
      </c>
      <c r="G28" s="24" t="s">
        <v>61</v>
      </c>
      <c r="H28" s="24" t="s">
        <v>61</v>
      </c>
      <c r="I28" s="24" t="s">
        <v>61</v>
      </c>
      <c r="J28" s="24" t="s">
        <v>61</v>
      </c>
      <c r="K28" s="32">
        <f t="shared" si="0"/>
        <v>0.05956549379809027</v>
      </c>
      <c r="L28" s="32">
        <f t="shared" si="1"/>
        <v>39.66002784688226</v>
      </c>
      <c r="M28" s="28"/>
    </row>
    <row r="29" spans="2:13" ht="21" customHeight="1">
      <c r="B29" s="74" t="s">
        <v>6</v>
      </c>
      <c r="C29" s="24">
        <f>54830522</f>
        <v>54830522</v>
      </c>
      <c r="D29" s="24">
        <f>601893.69</f>
        <v>601893.69</v>
      </c>
      <c r="E29" s="24">
        <f>598513.69</f>
        <v>598513.69</v>
      </c>
      <c r="F29" s="24" t="s">
        <v>61</v>
      </c>
      <c r="G29" s="24" t="s">
        <v>61</v>
      </c>
      <c r="H29" s="24" t="s">
        <v>61</v>
      </c>
      <c r="I29" s="24" t="s">
        <v>61</v>
      </c>
      <c r="J29" s="24" t="s">
        <v>61</v>
      </c>
      <c r="K29" s="32">
        <f t="shared" si="0"/>
        <v>0.0004486491578671505</v>
      </c>
      <c r="L29" s="32">
        <f t="shared" si="1"/>
        <v>1.0977347434335933</v>
      </c>
      <c r="M29" s="28"/>
    </row>
    <row r="30" spans="2:13" ht="39.75" customHeight="1">
      <c r="B30" s="71" t="s">
        <v>11</v>
      </c>
      <c r="C30" s="24">
        <f>1448946526.24</f>
        <v>1448946526.24</v>
      </c>
      <c r="D30" s="24">
        <f>578861042.79</f>
        <v>578861042.79</v>
      </c>
      <c r="E30" s="24">
        <f>578714790.73</f>
        <v>578714790.73</v>
      </c>
      <c r="F30" s="24" t="s">
        <v>61</v>
      </c>
      <c r="G30" s="24" t="s">
        <v>61</v>
      </c>
      <c r="H30" s="24" t="s">
        <v>61</v>
      </c>
      <c r="I30" s="24" t="s">
        <v>61</v>
      </c>
      <c r="J30" s="24" t="s">
        <v>61</v>
      </c>
      <c r="K30" s="32">
        <f t="shared" si="0"/>
        <v>0.43148071442622055</v>
      </c>
      <c r="L30" s="32">
        <f t="shared" si="1"/>
        <v>39.95047659157843</v>
      </c>
      <c r="M30" s="28"/>
    </row>
    <row r="31" spans="2:13" ht="21" customHeight="1">
      <c r="B31" s="74" t="s">
        <v>6</v>
      </c>
      <c r="C31" s="24">
        <f>438121499.51</f>
        <v>438121499.51</v>
      </c>
      <c r="D31" s="24">
        <f>64383246.94</f>
        <v>64383246.94</v>
      </c>
      <c r="E31" s="24">
        <f>64370534.31</f>
        <v>64370534.31</v>
      </c>
      <c r="F31" s="24" t="s">
        <v>61</v>
      </c>
      <c r="G31" s="24" t="s">
        <v>61</v>
      </c>
      <c r="H31" s="24" t="s">
        <v>61</v>
      </c>
      <c r="I31" s="24" t="s">
        <v>61</v>
      </c>
      <c r="J31" s="24" t="s">
        <v>61</v>
      </c>
      <c r="K31" s="32">
        <f t="shared" si="0"/>
        <v>0.04799101568980362</v>
      </c>
      <c r="L31" s="32">
        <f t="shared" si="1"/>
        <v>14.695295029348468</v>
      </c>
      <c r="M31" s="28"/>
    </row>
    <row r="32" spans="2:13" ht="39.75" customHeight="1">
      <c r="B32" s="71" t="s">
        <v>82</v>
      </c>
      <c r="C32" s="24">
        <f>1164807810.9</f>
        <v>1164807810.9</v>
      </c>
      <c r="D32" s="24">
        <f>267534084.52</f>
        <v>267534084.52</v>
      </c>
      <c r="E32" s="24">
        <f>268298829.65</f>
        <v>268298829.65</v>
      </c>
      <c r="F32" s="24" t="s">
        <v>61</v>
      </c>
      <c r="G32" s="24" t="s">
        <v>61</v>
      </c>
      <c r="H32" s="24" t="s">
        <v>61</v>
      </c>
      <c r="I32" s="24" t="s">
        <v>61</v>
      </c>
      <c r="J32" s="24" t="s">
        <v>61</v>
      </c>
      <c r="K32" s="32">
        <f t="shared" si="0"/>
        <v>0.1994188404278787</v>
      </c>
      <c r="L32" s="32">
        <f t="shared" si="1"/>
        <v>22.968088127198186</v>
      </c>
      <c r="M32" s="28"/>
    </row>
    <row r="33" spans="2:13" ht="24" customHeight="1">
      <c r="B33" s="74" t="s">
        <v>6</v>
      </c>
      <c r="C33" s="24">
        <f>1029672144.78</f>
        <v>1029672144.78</v>
      </c>
      <c r="D33" s="24">
        <f>215214950.42</f>
        <v>215214950.42</v>
      </c>
      <c r="E33" s="24">
        <f>216020473.7</f>
        <v>216020473.7</v>
      </c>
      <c r="F33" s="24" t="s">
        <v>61</v>
      </c>
      <c r="G33" s="24" t="s">
        <v>61</v>
      </c>
      <c r="H33" s="24" t="s">
        <v>61</v>
      </c>
      <c r="I33" s="24" t="s">
        <v>61</v>
      </c>
      <c r="J33" s="24" t="s">
        <v>61</v>
      </c>
      <c r="K33" s="32">
        <f t="shared" si="0"/>
        <v>0.1604203663712666</v>
      </c>
      <c r="L33" s="32">
        <f t="shared" si="1"/>
        <v>20.90130839326365</v>
      </c>
      <c r="M33" s="28"/>
    </row>
    <row r="34" spans="2:13" ht="22.5" customHeight="1">
      <c r="B34" s="71" t="s">
        <v>8</v>
      </c>
      <c r="C34" s="24">
        <f>587216382.49</f>
        <v>587216382.49</v>
      </c>
      <c r="D34" s="24">
        <f>137467382.34</f>
        <v>137467382.34</v>
      </c>
      <c r="E34" s="24">
        <f>136381970.03</f>
        <v>136381970.03</v>
      </c>
      <c r="F34" s="24" t="s">
        <v>61</v>
      </c>
      <c r="G34" s="24" t="s">
        <v>61</v>
      </c>
      <c r="H34" s="24" t="s">
        <v>61</v>
      </c>
      <c r="I34" s="24" t="s">
        <v>61</v>
      </c>
      <c r="J34" s="24" t="s">
        <v>61</v>
      </c>
      <c r="K34" s="32">
        <f t="shared" si="0"/>
        <v>0.10246763896302452</v>
      </c>
      <c r="L34" s="32">
        <f t="shared" si="1"/>
        <v>23.41000463186856</v>
      </c>
      <c r="M34" s="28"/>
    </row>
    <row r="35" spans="2:13" ht="21" customHeight="1">
      <c r="B35" s="74" t="s">
        <v>6</v>
      </c>
      <c r="C35" s="24">
        <f>458996536.88</f>
        <v>458996536.88</v>
      </c>
      <c r="D35" s="24">
        <f>59196705.54</f>
        <v>59196705.54</v>
      </c>
      <c r="E35" s="24">
        <f>58151506.78</f>
        <v>58151506.78</v>
      </c>
      <c r="F35" s="24" t="s">
        <v>61</v>
      </c>
      <c r="G35" s="24" t="s">
        <v>61</v>
      </c>
      <c r="H35" s="24" t="s">
        <v>61</v>
      </c>
      <c r="I35" s="24" t="s">
        <v>61</v>
      </c>
      <c r="J35" s="24" t="s">
        <v>61</v>
      </c>
      <c r="K35" s="32">
        <f t="shared" si="0"/>
        <v>0.04412498839958048</v>
      </c>
      <c r="L35" s="32">
        <f t="shared" si="1"/>
        <v>12.89698304531574</v>
      </c>
      <c r="M35" s="28"/>
    </row>
    <row r="36" spans="2:13" ht="25.5" customHeight="1">
      <c r="B36" s="68" t="s">
        <v>72</v>
      </c>
      <c r="C36" s="69">
        <f>3426293489</f>
        <v>3426293489</v>
      </c>
      <c r="D36" s="69">
        <f>973374229.4</f>
        <v>973374229.4</v>
      </c>
      <c r="E36" s="69">
        <f>960002024.98</f>
        <v>960002024.98</v>
      </c>
      <c r="F36" s="72" t="s">
        <v>61</v>
      </c>
      <c r="G36" s="72" t="s">
        <v>61</v>
      </c>
      <c r="H36" s="72" t="s">
        <v>61</v>
      </c>
      <c r="I36" s="72" t="s">
        <v>61</v>
      </c>
      <c r="J36" s="72" t="s">
        <v>61</v>
      </c>
      <c r="K36" s="70">
        <f t="shared" si="0"/>
        <v>0.7255492715165308</v>
      </c>
      <c r="L36" s="70">
        <f t="shared" si="1"/>
        <v>28.408956574356086</v>
      </c>
      <c r="M36" s="28"/>
    </row>
    <row r="37" spans="2:13" ht="19.5" customHeight="1">
      <c r="B37" s="29" t="s">
        <v>73</v>
      </c>
      <c r="C37" s="23">
        <f>2439629311.6</f>
        <v>2439629311.6</v>
      </c>
      <c r="D37" s="23">
        <f>503192304.34</f>
        <v>503192304.34</v>
      </c>
      <c r="E37" s="23">
        <f>503060071</f>
        <v>503060071</v>
      </c>
      <c r="F37" s="23" t="s">
        <v>61</v>
      </c>
      <c r="G37" s="23" t="s">
        <v>61</v>
      </c>
      <c r="H37" s="23" t="s">
        <v>61</v>
      </c>
      <c r="I37" s="23" t="s">
        <v>61</v>
      </c>
      <c r="J37" s="23" t="s">
        <v>61</v>
      </c>
      <c r="K37" s="32">
        <f t="shared" si="0"/>
        <v>0.37507753833965585</v>
      </c>
      <c r="L37" s="32">
        <f t="shared" si="1"/>
        <v>20.625768921016437</v>
      </c>
      <c r="M37" s="28"/>
    </row>
    <row r="38" spans="2:13" ht="25.5" customHeight="1">
      <c r="B38" s="68" t="s">
        <v>97</v>
      </c>
      <c r="C38" s="69">
        <f>22729951024.83</f>
        <v>22729951024.83</v>
      </c>
      <c r="D38" s="69">
        <f>6304351381.2</f>
        <v>6304351381.2</v>
      </c>
      <c r="E38" s="69">
        <f>6161001394.73</f>
        <v>6161001394.73</v>
      </c>
      <c r="F38" s="72" t="s">
        <v>61</v>
      </c>
      <c r="G38" s="72" t="s">
        <v>61</v>
      </c>
      <c r="H38" s="72" t="s">
        <v>61</v>
      </c>
      <c r="I38" s="72" t="s">
        <v>61</v>
      </c>
      <c r="J38" s="72" t="s">
        <v>61</v>
      </c>
      <c r="K38" s="70">
        <f t="shared" si="0"/>
        <v>4.699238395527933</v>
      </c>
      <c r="L38" s="70">
        <f t="shared" si="1"/>
        <v>27.735877540225147</v>
      </c>
      <c r="M38" s="28"/>
    </row>
    <row r="39" spans="2:13" ht="21" customHeight="1">
      <c r="B39" s="29" t="s">
        <v>98</v>
      </c>
      <c r="C39" s="23">
        <f>19219466441.68</f>
        <v>19219466441.68</v>
      </c>
      <c r="D39" s="23">
        <f>4762597945.07</f>
        <v>4762597945.07</v>
      </c>
      <c r="E39" s="23">
        <f>4651829975.67</f>
        <v>4651829975.67</v>
      </c>
      <c r="F39" s="23" t="s">
        <v>61</v>
      </c>
      <c r="G39" s="23" t="s">
        <v>61</v>
      </c>
      <c r="H39" s="23" t="s">
        <v>61</v>
      </c>
      <c r="I39" s="23" t="s">
        <v>61</v>
      </c>
      <c r="J39" s="23" t="s">
        <v>61</v>
      </c>
      <c r="K39" s="32">
        <f t="shared" si="0"/>
        <v>3.5500215284122305</v>
      </c>
      <c r="L39" s="32">
        <f t="shared" si="1"/>
        <v>24.780073679577626</v>
      </c>
      <c r="M39" s="28"/>
    </row>
    <row r="40" spans="2:13" ht="35.25" customHeight="1">
      <c r="B40" s="68" t="s">
        <v>64</v>
      </c>
      <c r="C40" s="69">
        <f>C41+C42+C43+C44+C45+C46</f>
        <v>60176518384.59</v>
      </c>
      <c r="D40" s="69">
        <f>D41+D42+D43+D44+D45+D46</f>
        <v>35264731506</v>
      </c>
      <c r="E40" s="69">
        <f>E41+E42+E43+E44+E45+E46</f>
        <v>31840553938.84</v>
      </c>
      <c r="F40" s="72" t="s">
        <v>61</v>
      </c>
      <c r="G40" s="72" t="s">
        <v>61</v>
      </c>
      <c r="H40" s="72" t="s">
        <v>61</v>
      </c>
      <c r="I40" s="72" t="s">
        <v>61</v>
      </c>
      <c r="J40" s="72" t="s">
        <v>61</v>
      </c>
      <c r="K40" s="70">
        <f t="shared" si="0"/>
        <v>26.28619032802632</v>
      </c>
      <c r="L40" s="70">
        <f t="shared" si="1"/>
        <v>58.60214657255843</v>
      </c>
      <c r="M40" s="28"/>
    </row>
    <row r="41" spans="2:13" ht="26.25" customHeight="1">
      <c r="B41" s="21" t="s">
        <v>50</v>
      </c>
      <c r="C41" s="23">
        <f>11868131861</f>
        <v>11868131861</v>
      </c>
      <c r="D41" s="23">
        <f>5934148956</f>
        <v>5934148956</v>
      </c>
      <c r="E41" s="23">
        <f>5930443446</f>
        <v>5930443446</v>
      </c>
      <c r="F41" s="23" t="s">
        <v>61</v>
      </c>
      <c r="G41" s="23" t="s">
        <v>61</v>
      </c>
      <c r="H41" s="23" t="s">
        <v>61</v>
      </c>
      <c r="I41" s="23" t="s">
        <v>61</v>
      </c>
      <c r="J41" s="23" t="s">
        <v>61</v>
      </c>
      <c r="K41" s="32">
        <f t="shared" si="0"/>
        <v>4.42329098310971</v>
      </c>
      <c r="L41" s="32">
        <f t="shared" si="1"/>
        <v>50.000699566713386</v>
      </c>
      <c r="M41" s="28"/>
    </row>
    <row r="42" spans="2:13" ht="26.25" customHeight="1">
      <c r="B42" s="21" t="s">
        <v>49</v>
      </c>
      <c r="C42" s="23">
        <f>45713696964.59</f>
        <v>45713696964.59</v>
      </c>
      <c r="D42" s="23">
        <f>28133019458</f>
        <v>28133019458</v>
      </c>
      <c r="E42" s="23">
        <f>24712784958.84</f>
        <v>24712784958.84</v>
      </c>
      <c r="F42" s="23" t="s">
        <v>61</v>
      </c>
      <c r="G42" s="23" t="s">
        <v>61</v>
      </c>
      <c r="H42" s="23" t="s">
        <v>61</v>
      </c>
      <c r="I42" s="23" t="s">
        <v>61</v>
      </c>
      <c r="J42" s="23" t="s">
        <v>61</v>
      </c>
      <c r="K42" s="32">
        <f t="shared" si="0"/>
        <v>20.97024058865256</v>
      </c>
      <c r="L42" s="32">
        <f t="shared" si="1"/>
        <v>61.54177265468584</v>
      </c>
      <c r="M42" s="28"/>
    </row>
    <row r="43" spans="2:13" ht="26.25" customHeight="1">
      <c r="B43" s="21" t="s">
        <v>48</v>
      </c>
      <c r="C43" s="23">
        <f>180795</f>
        <v>180795</v>
      </c>
      <c r="D43" s="23">
        <f>0</f>
        <v>0</v>
      </c>
      <c r="E43" s="23">
        <f>0</f>
        <v>0</v>
      </c>
      <c r="F43" s="23" t="s">
        <v>61</v>
      </c>
      <c r="G43" s="23" t="s">
        <v>61</v>
      </c>
      <c r="H43" s="23" t="s">
        <v>61</v>
      </c>
      <c r="I43" s="23" t="s">
        <v>61</v>
      </c>
      <c r="J43" s="23" t="s">
        <v>61</v>
      </c>
      <c r="K43" s="32">
        <f t="shared" si="0"/>
        <v>0</v>
      </c>
      <c r="L43" s="32">
        <f t="shared" si="1"/>
        <v>0</v>
      </c>
      <c r="M43" s="28"/>
    </row>
    <row r="44" spans="2:13" ht="26.25" customHeight="1">
      <c r="B44" s="21" t="s">
        <v>47</v>
      </c>
      <c r="C44" s="23">
        <f>1838175799</f>
        <v>1838175799</v>
      </c>
      <c r="D44" s="23">
        <f>919119288</f>
        <v>919119288</v>
      </c>
      <c r="E44" s="23">
        <f>918881730</f>
        <v>918881730</v>
      </c>
      <c r="F44" s="23" t="s">
        <v>61</v>
      </c>
      <c r="G44" s="23" t="s">
        <v>61</v>
      </c>
      <c r="H44" s="23" t="s">
        <v>61</v>
      </c>
      <c r="I44" s="23" t="s">
        <v>61</v>
      </c>
      <c r="J44" s="23" t="s">
        <v>61</v>
      </c>
      <c r="K44" s="32">
        <f t="shared" si="0"/>
        <v>0.6851078544130527</v>
      </c>
      <c r="L44" s="32">
        <f t="shared" si="1"/>
        <v>50.00170758966673</v>
      </c>
      <c r="M44" s="28"/>
    </row>
    <row r="45" spans="2:13" ht="26.25" customHeight="1">
      <c r="B45" s="21" t="s">
        <v>60</v>
      </c>
      <c r="C45" s="23">
        <f>490700190</f>
        <v>490700190</v>
      </c>
      <c r="D45" s="23">
        <f>229216122</f>
        <v>229216122</v>
      </c>
      <c r="E45" s="23">
        <f>229216122</f>
        <v>229216122</v>
      </c>
      <c r="F45" s="23" t="s">
        <v>61</v>
      </c>
      <c r="G45" s="23" t="s">
        <v>61</v>
      </c>
      <c r="H45" s="23" t="s">
        <v>61</v>
      </c>
      <c r="I45" s="23" t="s">
        <v>61</v>
      </c>
      <c r="J45" s="23" t="s">
        <v>61</v>
      </c>
      <c r="K45" s="32">
        <f t="shared" si="0"/>
        <v>0.170856783869713</v>
      </c>
      <c r="L45" s="32">
        <f t="shared" si="1"/>
        <v>46.712050794192685</v>
      </c>
      <c r="M45" s="28"/>
    </row>
    <row r="46" spans="2:13" ht="26.25" customHeight="1">
      <c r="B46" s="21" t="s">
        <v>45</v>
      </c>
      <c r="C46" s="23">
        <f>265632775</f>
        <v>265632775</v>
      </c>
      <c r="D46" s="23">
        <f>49227682</f>
        <v>49227682</v>
      </c>
      <c r="E46" s="23">
        <f>49227682</f>
        <v>49227682</v>
      </c>
      <c r="F46" s="23" t="s">
        <v>61</v>
      </c>
      <c r="G46" s="23" t="s">
        <v>61</v>
      </c>
      <c r="H46" s="23" t="s">
        <v>61</v>
      </c>
      <c r="I46" s="23" t="s">
        <v>61</v>
      </c>
      <c r="J46" s="23" t="s">
        <v>61</v>
      </c>
      <c r="K46" s="32">
        <f t="shared" si="0"/>
        <v>0.03669411798128651</v>
      </c>
      <c r="L46" s="32">
        <f t="shared" si="1"/>
        <v>18.53223195066949</v>
      </c>
      <c r="M46" s="28"/>
    </row>
    <row r="47" spans="1:13" s="6" customFormat="1" ht="13.5" customHeight="1">
      <c r="A47" s="3"/>
      <c r="B47" s="22"/>
      <c r="C47" s="8"/>
      <c r="D47" s="9"/>
      <c r="E47" s="9"/>
      <c r="F47" s="16"/>
      <c r="G47" s="16"/>
      <c r="H47" s="16"/>
      <c r="I47" s="16"/>
      <c r="J47" s="16"/>
      <c r="K47" s="10"/>
      <c r="L47" s="10"/>
      <c r="M47" s="4"/>
    </row>
    <row r="48" spans="1:13" s="6" customFormat="1" ht="18.75" customHeight="1">
      <c r="A48" s="3"/>
      <c r="B48" s="75" t="s">
        <v>5</v>
      </c>
      <c r="C48" s="76">
        <f aca="true" t="shared" si="4" ref="C48:J48">+C6</f>
        <v>267394660229.41</v>
      </c>
      <c r="D48" s="76">
        <f t="shared" si="4"/>
        <v>134156875020.42</v>
      </c>
      <c r="E48" s="76">
        <f t="shared" si="4"/>
        <v>126966136999.74</v>
      </c>
      <c r="F48" s="76">
        <f t="shared" si="4"/>
        <v>1736531181.61</v>
      </c>
      <c r="G48" s="76">
        <f t="shared" si="4"/>
        <v>390290706.19</v>
      </c>
      <c r="H48" s="76">
        <f t="shared" si="4"/>
        <v>46577440.22</v>
      </c>
      <c r="I48" s="76">
        <f t="shared" si="4"/>
        <v>162934114.33</v>
      </c>
      <c r="J48" s="76">
        <f t="shared" si="4"/>
        <v>1109821.63</v>
      </c>
      <c r="K48" s="77">
        <f>IF($D$48=0,"",100*$D48/$D$48)</f>
        <v>100</v>
      </c>
      <c r="L48" s="77">
        <f t="shared" si="1"/>
        <v>50.171860165539854</v>
      </c>
      <c r="M48" s="4"/>
    </row>
    <row r="49" spans="1:13" s="6" customFormat="1" ht="24.75" customHeight="1">
      <c r="A49" s="3"/>
      <c r="B49" s="66" t="s">
        <v>76</v>
      </c>
      <c r="C49" s="67">
        <f>32769514827.81</f>
        <v>32769514827.81</v>
      </c>
      <c r="D49" s="67">
        <f>7757318534.63</f>
        <v>7757318534.63</v>
      </c>
      <c r="E49" s="67">
        <f>7639922851.86</f>
        <v>7639922851.86</v>
      </c>
      <c r="F49" s="67">
        <f>0</f>
        <v>0</v>
      </c>
      <c r="G49" s="67">
        <f>69409.22</f>
        <v>69409.22</v>
      </c>
      <c r="H49" s="67">
        <f>0</f>
        <v>0</v>
      </c>
      <c r="I49" s="67">
        <f>144868.1</f>
        <v>144868.1</v>
      </c>
      <c r="J49" s="67">
        <f>0</f>
        <v>0</v>
      </c>
      <c r="K49" s="33">
        <f>IF($D$48=0,"",100*$D49/$D$48)</f>
        <v>5.7822743213489876</v>
      </c>
      <c r="L49" s="33">
        <f t="shared" si="1"/>
        <v>23.6723630953691</v>
      </c>
      <c r="M49" s="4"/>
    </row>
    <row r="50" spans="1:13" s="6" customFormat="1" ht="24.75" customHeight="1">
      <c r="A50" s="3"/>
      <c r="B50" s="66" t="s">
        <v>77</v>
      </c>
      <c r="C50" s="67">
        <f>+C48-C49</f>
        <v>234625145401.6</v>
      </c>
      <c r="D50" s="67">
        <f aca="true" t="shared" si="5" ref="D50:J50">+D48-D49</f>
        <v>126399556485.79</v>
      </c>
      <c r="E50" s="67">
        <f t="shared" si="5"/>
        <v>119326214147.88</v>
      </c>
      <c r="F50" s="67">
        <f t="shared" si="5"/>
        <v>1736531181.61</v>
      </c>
      <c r="G50" s="67">
        <f t="shared" si="5"/>
        <v>390221296.96999997</v>
      </c>
      <c r="H50" s="67">
        <f t="shared" si="5"/>
        <v>46577440.22</v>
      </c>
      <c r="I50" s="67">
        <f t="shared" si="5"/>
        <v>162789246.23000002</v>
      </c>
      <c r="J50" s="67">
        <f t="shared" si="5"/>
        <v>1109821.63</v>
      </c>
      <c r="K50" s="33">
        <f>IF($D$48=0,"",100*$D50/$D$48)</f>
        <v>94.21772567865101</v>
      </c>
      <c r="L50" s="33">
        <f t="shared" si="1"/>
        <v>53.87297950074196</v>
      </c>
      <c r="M50" s="4"/>
    </row>
    <row r="51" spans="1:13" s="6" customFormat="1" ht="13.5" customHeight="1">
      <c r="A51" s="3"/>
      <c r="B51" s="22"/>
      <c r="C51" s="8"/>
      <c r="D51" s="9"/>
      <c r="E51" s="9"/>
      <c r="F51" s="16"/>
      <c r="G51" s="16"/>
      <c r="H51" s="16"/>
      <c r="I51" s="16"/>
      <c r="J51" s="16"/>
      <c r="K51" s="10"/>
      <c r="L51" s="10"/>
      <c r="M51" s="4"/>
    </row>
    <row r="52" spans="2:13" ht="58.5" customHeight="1">
      <c r="B52" s="102" t="s">
        <v>113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98" t="s">
        <v>0</v>
      </c>
      <c r="C54" s="97" t="s">
        <v>56</v>
      </c>
      <c r="D54" s="97" t="s">
        <v>57</v>
      </c>
      <c r="E54" s="97" t="s">
        <v>58</v>
      </c>
      <c r="F54" s="97" t="s">
        <v>12</v>
      </c>
      <c r="G54" s="97"/>
      <c r="H54" s="97"/>
      <c r="I54" s="97" t="s">
        <v>99</v>
      </c>
      <c r="J54" s="97"/>
      <c r="K54" s="97" t="s">
        <v>2</v>
      </c>
      <c r="L54" s="105" t="s">
        <v>36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98"/>
      <c r="C55" s="97"/>
      <c r="D55" s="103"/>
      <c r="E55" s="97"/>
      <c r="F55" s="94" t="s">
        <v>59</v>
      </c>
      <c r="G55" s="104" t="s">
        <v>34</v>
      </c>
      <c r="H55" s="103"/>
      <c r="I55" s="97"/>
      <c r="J55" s="97"/>
      <c r="K55" s="97"/>
      <c r="L55" s="10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98"/>
      <c r="C56" s="97"/>
      <c r="D56" s="103"/>
      <c r="E56" s="97"/>
      <c r="F56" s="103"/>
      <c r="G56" s="18" t="s">
        <v>54</v>
      </c>
      <c r="H56" s="18" t="s">
        <v>55</v>
      </c>
      <c r="I56" s="97"/>
      <c r="J56" s="97"/>
      <c r="K56" s="97"/>
      <c r="L56" s="10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98"/>
      <c r="C57" s="99" t="s">
        <v>81</v>
      </c>
      <c r="D57" s="99"/>
      <c r="E57" s="99"/>
      <c r="F57" s="99"/>
      <c r="G57" s="99"/>
      <c r="H57" s="99"/>
      <c r="I57" s="99"/>
      <c r="J57" s="99"/>
      <c r="K57" s="99" t="s">
        <v>4</v>
      </c>
      <c r="L57" s="9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7">
        <v>1</v>
      </c>
      <c r="C58" s="19">
        <v>2</v>
      </c>
      <c r="D58" s="19">
        <v>3</v>
      </c>
      <c r="E58" s="19">
        <v>4</v>
      </c>
      <c r="F58" s="17">
        <v>5</v>
      </c>
      <c r="G58" s="17">
        <v>6</v>
      </c>
      <c r="H58" s="19">
        <v>7</v>
      </c>
      <c r="I58" s="103">
        <v>8</v>
      </c>
      <c r="J58" s="103"/>
      <c r="K58" s="17">
        <v>9</v>
      </c>
      <c r="L58" s="19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68" t="s">
        <v>65</v>
      </c>
      <c r="C59" s="76">
        <f>290313504612.74</f>
        <v>290313504612.74</v>
      </c>
      <c r="D59" s="76">
        <f>211801064199.89</f>
        <v>211801064199.89</v>
      </c>
      <c r="E59" s="76">
        <f>120666508411.58</f>
        <v>120666508411.58</v>
      </c>
      <c r="F59" s="76">
        <f>7178226522.93</f>
        <v>7178226522.93</v>
      </c>
      <c r="G59" s="76">
        <f>15214731.93</f>
        <v>15214731.93</v>
      </c>
      <c r="H59" s="76">
        <f>30005722.21</f>
        <v>30005722.21</v>
      </c>
      <c r="I59" s="110">
        <f>0</f>
        <v>0</v>
      </c>
      <c r="J59" s="110"/>
      <c r="K59" s="60">
        <f aca="true" t="shared" si="6" ref="K59:K68">IF($E$59=0,"",100*$E59/$E$59)</f>
        <v>100</v>
      </c>
      <c r="L59" s="60">
        <f aca="true" t="shared" si="7" ref="L59:L68">IF(C59=0,"",100*E59/C59)</f>
        <v>41.564207828547815</v>
      </c>
    </row>
    <row r="60" spans="2:12" ht="24" customHeight="1">
      <c r="B60" s="20" t="s">
        <v>14</v>
      </c>
      <c r="C60" s="26">
        <f>69379065856.48</f>
        <v>69379065856.48</v>
      </c>
      <c r="D60" s="26">
        <f>39449555621.8</f>
        <v>39449555621.8</v>
      </c>
      <c r="E60" s="26">
        <f>14059675232.57</f>
        <v>14059675232.57</v>
      </c>
      <c r="F60" s="26">
        <f>2537995252.3</f>
        <v>2537995252.3</v>
      </c>
      <c r="G60" s="26">
        <f>4684128.79</f>
        <v>4684128.79</v>
      </c>
      <c r="H60" s="26">
        <f>8283858.44</f>
        <v>8283858.44</v>
      </c>
      <c r="I60" s="111">
        <f>0</f>
        <v>0</v>
      </c>
      <c r="J60" s="112"/>
      <c r="K60" s="34">
        <f t="shared" si="6"/>
        <v>11.651679838629304</v>
      </c>
      <c r="L60" s="34">
        <f t="shared" si="7"/>
        <v>20.265010863153368</v>
      </c>
    </row>
    <row r="61" spans="2:12" ht="22.5" customHeight="1">
      <c r="B61" s="21" t="s">
        <v>13</v>
      </c>
      <c r="C61" s="23">
        <f>67352184830.65</f>
        <v>67352184830.65</v>
      </c>
      <c r="D61" s="23">
        <f>38224628610.61</f>
        <v>38224628610.61</v>
      </c>
      <c r="E61" s="23">
        <f>13098995516.07</f>
        <v>13098995516.07</v>
      </c>
      <c r="F61" s="23">
        <f>2423420180.24</f>
        <v>2423420180.24</v>
      </c>
      <c r="G61" s="23">
        <f>4684128.79</f>
        <v>4684128.79</v>
      </c>
      <c r="H61" s="23">
        <f>8283858.44</f>
        <v>8283858.44</v>
      </c>
      <c r="I61" s="108">
        <f>0</f>
        <v>0</v>
      </c>
      <c r="J61" s="109"/>
      <c r="K61" s="35">
        <f t="shared" si="6"/>
        <v>10.855535383016791</v>
      </c>
      <c r="L61" s="35">
        <f t="shared" si="7"/>
        <v>19.448508684619586</v>
      </c>
    </row>
    <row r="62" spans="2:12" ht="44.25" customHeight="1">
      <c r="B62" s="68" t="s">
        <v>66</v>
      </c>
      <c r="C62" s="76">
        <f aca="true" t="shared" si="8" ref="C62:I62">C59-C60</f>
        <v>220934438756.26</v>
      </c>
      <c r="D62" s="76">
        <f t="shared" si="8"/>
        <v>172351508578.09003</v>
      </c>
      <c r="E62" s="76">
        <f t="shared" si="8"/>
        <v>106606833179.01001</v>
      </c>
      <c r="F62" s="76">
        <f t="shared" si="8"/>
        <v>4640231270.63</v>
      </c>
      <c r="G62" s="76">
        <f t="shared" si="8"/>
        <v>10530603.14</v>
      </c>
      <c r="H62" s="76">
        <f t="shared" si="8"/>
        <v>21721863.77</v>
      </c>
      <c r="I62" s="110">
        <f t="shared" si="8"/>
        <v>0</v>
      </c>
      <c r="J62" s="110"/>
      <c r="K62" s="60">
        <f t="shared" si="6"/>
        <v>88.3483201613707</v>
      </c>
      <c r="L62" s="60">
        <f t="shared" si="7"/>
        <v>48.25270056544744</v>
      </c>
    </row>
    <row r="63" spans="2:12" ht="22.5" customHeight="1">
      <c r="B63" s="21" t="s">
        <v>112</v>
      </c>
      <c r="C63" s="23">
        <f>88816387821.8</f>
        <v>88816387821.8</v>
      </c>
      <c r="D63" s="23">
        <f>78653827288.42</f>
        <v>78653827288.42</v>
      </c>
      <c r="E63" s="23">
        <f>44605705063.92</f>
        <v>44605705063.92</v>
      </c>
      <c r="F63" s="23">
        <f>1964183664.91</f>
        <v>1964183664.91</v>
      </c>
      <c r="G63" s="23">
        <f>418408.49</f>
        <v>418408.49</v>
      </c>
      <c r="H63" s="23">
        <f>2016121.65</f>
        <v>2016121.65</v>
      </c>
      <c r="I63" s="108">
        <f>0</f>
        <v>0</v>
      </c>
      <c r="J63" s="109"/>
      <c r="K63" s="35">
        <f t="shared" si="6"/>
        <v>36.96610240164977</v>
      </c>
      <c r="L63" s="35">
        <f t="shared" si="7"/>
        <v>50.222381429670705</v>
      </c>
    </row>
    <row r="64" spans="2:12" ht="22.5" customHeight="1">
      <c r="B64" s="21" t="s">
        <v>53</v>
      </c>
      <c r="C64" s="23">
        <f>23752766786.27</f>
        <v>23752766786.27</v>
      </c>
      <c r="D64" s="23">
        <f>18113622082.43</f>
        <v>18113622082.43</v>
      </c>
      <c r="E64" s="23">
        <f>12040386670.7</f>
        <v>12040386670.7</v>
      </c>
      <c r="F64" s="23">
        <f>109897674.63</f>
        <v>109897674.63</v>
      </c>
      <c r="G64" s="23">
        <f>5830074.17</f>
        <v>5830074.17</v>
      </c>
      <c r="H64" s="23">
        <f>5855875.36</f>
        <v>5855875.36</v>
      </c>
      <c r="I64" s="108">
        <f>0</f>
        <v>0</v>
      </c>
      <c r="J64" s="109"/>
      <c r="K64" s="35">
        <f t="shared" si="6"/>
        <v>9.978234084333977</v>
      </c>
      <c r="L64" s="35">
        <f t="shared" si="7"/>
        <v>50.69045968008999</v>
      </c>
    </row>
    <row r="65" spans="2:12" ht="22.5" customHeight="1">
      <c r="B65" s="21" t="s">
        <v>52</v>
      </c>
      <c r="C65" s="23">
        <f>2483757098.36</f>
        <v>2483757098.36</v>
      </c>
      <c r="D65" s="23">
        <f>1486119790.57</f>
        <v>1486119790.57</v>
      </c>
      <c r="E65" s="23">
        <f>956742985.74</f>
        <v>956742985.74</v>
      </c>
      <c r="F65" s="23">
        <f>39738309.04</f>
        <v>39738309.04</v>
      </c>
      <c r="G65" s="23">
        <f>0</f>
        <v>0</v>
      </c>
      <c r="H65" s="23">
        <f>916.56</f>
        <v>916.56</v>
      </c>
      <c r="I65" s="108">
        <f>0</f>
        <v>0</v>
      </c>
      <c r="J65" s="109"/>
      <c r="K65" s="35">
        <f t="shared" si="6"/>
        <v>0.7928819672784899</v>
      </c>
      <c r="L65" s="35">
        <f t="shared" si="7"/>
        <v>38.51998999305237</v>
      </c>
    </row>
    <row r="66" spans="2:12" ht="33.75" customHeight="1">
      <c r="B66" s="21" t="s">
        <v>69</v>
      </c>
      <c r="C66" s="23">
        <f>415875167.25</f>
        <v>415875167.25</v>
      </c>
      <c r="D66" s="23">
        <f>55497069.92</f>
        <v>55497069.92</v>
      </c>
      <c r="E66" s="23">
        <f>11713779.13</f>
        <v>11713779.13</v>
      </c>
      <c r="F66" s="23">
        <f>852047.57</f>
        <v>852047.57</v>
      </c>
      <c r="G66" s="23">
        <f>0</f>
        <v>0</v>
      </c>
      <c r="H66" s="23">
        <f>0</f>
        <v>0</v>
      </c>
      <c r="I66" s="108">
        <f>0</f>
        <v>0</v>
      </c>
      <c r="J66" s="109"/>
      <c r="K66" s="35">
        <f t="shared" si="6"/>
        <v>0.009707564496724812</v>
      </c>
      <c r="L66" s="35">
        <f t="shared" si="7"/>
        <v>2.8166575098624143</v>
      </c>
    </row>
    <row r="67" spans="2:12" ht="30" customHeight="1">
      <c r="B67" s="21" t="s">
        <v>71</v>
      </c>
      <c r="C67" s="23">
        <f>38792198245.19</f>
        <v>38792198245.19</v>
      </c>
      <c r="D67" s="23">
        <f>28931320220.03</f>
        <v>28931320220.03</v>
      </c>
      <c r="E67" s="23">
        <f>20361324927.35</f>
        <v>20361324927.35</v>
      </c>
      <c r="F67" s="23">
        <f>336343561.72</f>
        <v>336343561.72</v>
      </c>
      <c r="G67" s="23">
        <f>18296.08</f>
        <v>18296.08</v>
      </c>
      <c r="H67" s="23">
        <f>320608.62</f>
        <v>320608.62</v>
      </c>
      <c r="I67" s="108">
        <f>0</f>
        <v>0</v>
      </c>
      <c r="J67" s="109"/>
      <c r="K67" s="35">
        <f t="shared" si="6"/>
        <v>16.874048313306446</v>
      </c>
      <c r="L67" s="35">
        <f t="shared" si="7"/>
        <v>52.48819568990184</v>
      </c>
    </row>
    <row r="68" spans="2:12" ht="22.5" customHeight="1">
      <c r="B68" s="21" t="s">
        <v>51</v>
      </c>
      <c r="C68" s="23">
        <f aca="true" t="shared" si="9" ref="C68:I68">C62-C63-C64-C65-C66-C67</f>
        <v>66673453637.39</v>
      </c>
      <c r="D68" s="23">
        <f t="shared" si="9"/>
        <v>45111122126.72002</v>
      </c>
      <c r="E68" s="23">
        <f t="shared" si="9"/>
        <v>28630959752.17002</v>
      </c>
      <c r="F68" s="23">
        <f t="shared" si="9"/>
        <v>2189216012.76</v>
      </c>
      <c r="G68" s="23">
        <f t="shared" si="9"/>
        <v>4263824.4</v>
      </c>
      <c r="H68" s="23">
        <f t="shared" si="9"/>
        <v>13528341.580000002</v>
      </c>
      <c r="I68" s="108">
        <f t="shared" si="9"/>
        <v>0</v>
      </c>
      <c r="J68" s="109"/>
      <c r="K68" s="35">
        <f t="shared" si="6"/>
        <v>23.7273458303053</v>
      </c>
      <c r="L68" s="35">
        <f t="shared" si="7"/>
        <v>42.942067929887436</v>
      </c>
    </row>
    <row r="69" spans="2:13" ht="24" customHeight="1">
      <c r="B69" s="20" t="s">
        <v>15</v>
      </c>
      <c r="C69" s="26">
        <f>C6-C59</f>
        <v>-22918844383.329987</v>
      </c>
      <c r="D69" s="26"/>
      <c r="E69" s="26">
        <f>D6-E59</f>
        <v>13490366608.839996</v>
      </c>
      <c r="F69" s="26"/>
      <c r="G69" s="26"/>
      <c r="H69" s="26"/>
      <c r="I69" s="111"/>
      <c r="J69" s="111"/>
      <c r="K69" s="27"/>
      <c r="L69" s="27"/>
      <c r="M69" s="14"/>
    </row>
    <row r="70" spans="2:13" ht="38.25">
      <c r="B70" s="61" t="s">
        <v>80</v>
      </c>
      <c r="C70" s="62">
        <f>+C50-C62</f>
        <v>13690706645.339996</v>
      </c>
      <c r="D70" s="62"/>
      <c r="E70" s="62">
        <f>+D50-E62</f>
        <v>19792723306.779984</v>
      </c>
      <c r="F70" s="62"/>
      <c r="G70" s="62"/>
      <c r="H70" s="62"/>
      <c r="I70" s="106"/>
      <c r="J70" s="107"/>
      <c r="K70" s="27"/>
      <c r="L70" s="27"/>
      <c r="M70" s="14"/>
    </row>
    <row r="71" spans="2:13" ht="12" customHeight="1" thickBot="1">
      <c r="B71" s="63"/>
      <c r="C71" s="64"/>
      <c r="D71" s="64"/>
      <c r="E71" s="64"/>
      <c r="F71" s="2"/>
      <c r="G71" s="2"/>
      <c r="H71" s="2"/>
      <c r="I71" s="2"/>
      <c r="L71" s="11"/>
      <c r="M71" s="11"/>
    </row>
    <row r="72" spans="2:13" ht="12" customHeight="1" thickBot="1">
      <c r="B72" s="65" t="s">
        <v>74</v>
      </c>
      <c r="C72" s="64"/>
      <c r="D72" s="64"/>
      <c r="E72" s="64"/>
      <c r="F72" s="2"/>
      <c r="G72" s="2"/>
      <c r="H72" s="2"/>
      <c r="I72" s="2"/>
      <c r="L72" s="11"/>
      <c r="M72" s="11"/>
    </row>
    <row r="73" spans="2:13" ht="35.25" customHeight="1">
      <c r="B73" s="81" t="s">
        <v>75</v>
      </c>
      <c r="C73" s="76">
        <f>35800697763.39</f>
        <v>35800697763.39</v>
      </c>
      <c r="D73" s="76">
        <f>22573579934.57</f>
        <v>22573579934.57</v>
      </c>
      <c r="E73" s="76">
        <f>8802061352.89</f>
        <v>8802061352.89</v>
      </c>
      <c r="F73" s="76">
        <f>1030147791.7</f>
        <v>1030147791.7</v>
      </c>
      <c r="G73" s="76">
        <f>1195881.46</f>
        <v>1195881.46</v>
      </c>
      <c r="H73" s="76">
        <f>4528762.36</f>
        <v>4528762.36</v>
      </c>
      <c r="I73" s="110">
        <f>0</f>
        <v>0</v>
      </c>
      <c r="J73" s="110"/>
      <c r="K73" s="60">
        <f>IF($E$73=0,"",100*$E73/$E$73)</f>
        <v>100</v>
      </c>
      <c r="L73" s="60">
        <f>IF(C73=0,"",100*E73/C73)</f>
        <v>24.586284354186635</v>
      </c>
      <c r="M73" s="11"/>
    </row>
    <row r="74" spans="2:13" ht="21.75" customHeight="1">
      <c r="B74" s="78" t="s">
        <v>78</v>
      </c>
      <c r="C74" s="79">
        <f>31338963591.98</f>
        <v>31338963591.98</v>
      </c>
      <c r="D74" s="79">
        <f>19383483539.57</f>
        <v>19383483539.57</v>
      </c>
      <c r="E74" s="79">
        <f>6846193302.4</f>
        <v>6846193302.4</v>
      </c>
      <c r="F74" s="79">
        <f>974125028.02</f>
        <v>974125028.02</v>
      </c>
      <c r="G74" s="79">
        <f>921703.46</f>
        <v>921703.46</v>
      </c>
      <c r="H74" s="79">
        <f>4520317.47</f>
        <v>4520317.47</v>
      </c>
      <c r="I74" s="113">
        <f>0</f>
        <v>0</v>
      </c>
      <c r="J74" s="113"/>
      <c r="K74" s="80">
        <f>IF($E$73=0,"",100*$E74/$E$73)</f>
        <v>77.77943174813448</v>
      </c>
      <c r="L74" s="80">
        <f>IF(C74=0,"",100*E74/C74)</f>
        <v>21.84562767146524</v>
      </c>
      <c r="M74" s="11"/>
    </row>
    <row r="75" spans="2:12" ht="24" customHeight="1">
      <c r="B75" s="78" t="s">
        <v>79</v>
      </c>
      <c r="C75" s="79">
        <f aca="true" t="shared" si="10" ref="C75:I75">C73-C74</f>
        <v>4461734171.41</v>
      </c>
      <c r="D75" s="79">
        <f t="shared" si="10"/>
        <v>3190096395</v>
      </c>
      <c r="E75" s="79">
        <f t="shared" si="10"/>
        <v>1955868050.4899998</v>
      </c>
      <c r="F75" s="79">
        <f t="shared" si="10"/>
        <v>56022763.68000007</v>
      </c>
      <c r="G75" s="79">
        <f t="shared" si="10"/>
        <v>274178</v>
      </c>
      <c r="H75" s="79">
        <f t="shared" si="10"/>
        <v>8444.890000000596</v>
      </c>
      <c r="I75" s="113">
        <f t="shared" si="10"/>
        <v>0</v>
      </c>
      <c r="J75" s="113"/>
      <c r="K75" s="80">
        <f>IF($E$73=0,"",100*$E75/$E$73)</f>
        <v>22.22056825186552</v>
      </c>
      <c r="L75" s="80">
        <f>IF(C75=0,"",100*E75/C75)</f>
        <v>43.83649888921789</v>
      </c>
    </row>
    <row r="76" spans="2:13" ht="20.25">
      <c r="B76" s="102" t="s">
        <v>113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8" ht="12.75">
      <c r="B77" s="41" t="s">
        <v>16</v>
      </c>
      <c r="C77" s="90" t="s">
        <v>17</v>
      </c>
      <c r="D77" s="89"/>
      <c r="E77" s="90" t="s">
        <v>1</v>
      </c>
      <c r="F77" s="89"/>
      <c r="G77" s="19" t="s">
        <v>26</v>
      </c>
      <c r="H77" s="19" t="s">
        <v>27</v>
      </c>
    </row>
    <row r="78" spans="2:8" ht="12.75">
      <c r="B78" s="41"/>
      <c r="C78" s="94" t="s">
        <v>81</v>
      </c>
      <c r="D78" s="95"/>
      <c r="E78" s="95"/>
      <c r="F78" s="96"/>
      <c r="G78" s="100" t="s">
        <v>4</v>
      </c>
      <c r="H78" s="101"/>
    </row>
    <row r="79" spans="2:8" ht="12.75">
      <c r="B79" s="39">
        <v>1</v>
      </c>
      <c r="C79" s="43">
        <v>2</v>
      </c>
      <c r="D79" s="44"/>
      <c r="E79" s="43">
        <v>3</v>
      </c>
      <c r="F79" s="44"/>
      <c r="G79" s="40">
        <v>4</v>
      </c>
      <c r="H79" s="40">
        <v>5</v>
      </c>
    </row>
    <row r="80" spans="2:8" ht="25.5">
      <c r="B80" s="38" t="s">
        <v>67</v>
      </c>
      <c r="C80" s="45">
        <f>33721824027.83</f>
        <v>33721824027.83</v>
      </c>
      <c r="D80" s="46"/>
      <c r="E80" s="45">
        <f>22397577369.05</f>
        <v>22397577369.05</v>
      </c>
      <c r="F80" s="46"/>
      <c r="G80" s="42">
        <f>IF($E$80=0,"",100*$E80/$E$80)</f>
        <v>100</v>
      </c>
      <c r="H80" s="34">
        <f>IF(C80=0,"",100*E80/C80)</f>
        <v>66.41864138359091</v>
      </c>
    </row>
    <row r="81" spans="2:8" ht="33.75">
      <c r="B81" s="37" t="s">
        <v>100</v>
      </c>
      <c r="C81" s="47">
        <f>19923501818.75</f>
        <v>19923501818.75</v>
      </c>
      <c r="D81" s="48"/>
      <c r="E81" s="47">
        <f>3967474717.19</f>
        <v>3967474717.19</v>
      </c>
      <c r="F81" s="48"/>
      <c r="G81" s="58">
        <f aca="true" t="shared" si="11" ref="G81:G87">IF($E$80=0,"",100*$E81/$E$80)</f>
        <v>17.713856511429842</v>
      </c>
      <c r="H81" s="59">
        <f aca="true" t="shared" si="12" ref="H81:H92">IF(C81=0,"",100*E81/C81)</f>
        <v>19.913541069653785</v>
      </c>
    </row>
    <row r="82" spans="2:8" ht="22.5">
      <c r="B82" s="30" t="s">
        <v>101</v>
      </c>
      <c r="C82" s="82">
        <f>354187934.4</f>
        <v>354187934.4</v>
      </c>
      <c r="D82" s="83"/>
      <c r="E82" s="82">
        <f>163185000</f>
        <v>163185000</v>
      </c>
      <c r="F82" s="83"/>
      <c r="G82" s="84">
        <f t="shared" si="11"/>
        <v>0.7285832628733165</v>
      </c>
      <c r="H82" s="80">
        <f t="shared" si="12"/>
        <v>46.072998019099096</v>
      </c>
    </row>
    <row r="83" spans="2:8" ht="12.75">
      <c r="B83" s="85" t="s">
        <v>102</v>
      </c>
      <c r="C83" s="82">
        <f>200483564.36</f>
        <v>200483564.36</v>
      </c>
      <c r="D83" s="83"/>
      <c r="E83" s="82">
        <f>55393809.09</f>
        <v>55393809.09</v>
      </c>
      <c r="F83" s="83"/>
      <c r="G83" s="84">
        <f t="shared" si="11"/>
        <v>0.24732053908002438</v>
      </c>
      <c r="H83" s="80">
        <f t="shared" si="12"/>
        <v>27.630099887156653</v>
      </c>
    </row>
    <row r="84" spans="2:8" ht="12.75">
      <c r="B84" s="85" t="s">
        <v>103</v>
      </c>
      <c r="C84" s="82">
        <f>1679650224.88</f>
        <v>1679650224.88</v>
      </c>
      <c r="D84" s="83"/>
      <c r="E84" s="82">
        <f>2410681198.15</f>
        <v>2410681198.15</v>
      </c>
      <c r="F84" s="83"/>
      <c r="G84" s="84">
        <f t="shared" si="11"/>
        <v>10.763133701599308</v>
      </c>
      <c r="H84" s="80">
        <f t="shared" si="12"/>
        <v>143.5228098351386</v>
      </c>
    </row>
    <row r="85" spans="2:8" ht="12.75">
      <c r="B85" s="85" t="s">
        <v>104</v>
      </c>
      <c r="C85" s="82">
        <f>0.53</f>
        <v>0.53</v>
      </c>
      <c r="D85" s="83"/>
      <c r="E85" s="82">
        <f>0.53</f>
        <v>0.53</v>
      </c>
      <c r="F85" s="83"/>
      <c r="G85" s="84">
        <f t="shared" si="11"/>
        <v>2.3663273543699344E-09</v>
      </c>
      <c r="H85" s="80">
        <f t="shared" si="12"/>
        <v>100</v>
      </c>
    </row>
    <row r="86" spans="2:8" ht="33.75">
      <c r="B86" s="85" t="s">
        <v>105</v>
      </c>
      <c r="C86" s="82">
        <f>11573689717.45</f>
        <v>11573689717.45</v>
      </c>
      <c r="D86" s="83"/>
      <c r="E86" s="82">
        <f>15868424379.94</f>
        <v>15868424379.94</v>
      </c>
      <c r="F86" s="83"/>
      <c r="G86" s="84">
        <f t="shared" si="11"/>
        <v>70.84884279434488</v>
      </c>
      <c r="H86" s="80">
        <f t="shared" si="12"/>
        <v>137.10773977303623</v>
      </c>
    </row>
    <row r="87" spans="2:8" ht="12.75">
      <c r="B87" s="85" t="s">
        <v>83</v>
      </c>
      <c r="C87" s="82">
        <f>344498701.86</f>
        <v>344498701.86</v>
      </c>
      <c r="D87" s="83"/>
      <c r="E87" s="82">
        <f>95603264.15</f>
        <v>95603264.15</v>
      </c>
      <c r="F87" s="83"/>
      <c r="G87" s="84">
        <f t="shared" si="11"/>
        <v>0.42684645117962167</v>
      </c>
      <c r="H87" s="80">
        <f t="shared" si="12"/>
        <v>27.751414920817894</v>
      </c>
    </row>
    <row r="88" spans="2:8" ht="25.5">
      <c r="B88" s="38" t="s">
        <v>68</v>
      </c>
      <c r="C88" s="55">
        <f>10772188264.27</f>
        <v>10772188264.27</v>
      </c>
      <c r="D88" s="56"/>
      <c r="E88" s="55">
        <f>5173204575.7</f>
        <v>5173204575.7</v>
      </c>
      <c r="F88" s="56"/>
      <c r="G88" s="42">
        <f>IF($E$88=0,"",100*$E88/$E$88)</f>
        <v>100</v>
      </c>
      <c r="H88" s="34">
        <f t="shared" si="12"/>
        <v>48.02371114194942</v>
      </c>
    </row>
    <row r="89" spans="2:8" ht="33.75">
      <c r="B89" s="37" t="s">
        <v>106</v>
      </c>
      <c r="C89" s="47">
        <f>9658784128.1</f>
        <v>9658784128.1</v>
      </c>
      <c r="D89" s="53"/>
      <c r="E89" s="54">
        <f>4014848876.45</f>
        <v>4014848876.45</v>
      </c>
      <c r="F89" s="53"/>
      <c r="G89" s="58">
        <f>IF($E$88=0,"",100*$E89/$E$88)</f>
        <v>77.60854645704283</v>
      </c>
      <c r="H89" s="59">
        <f t="shared" si="12"/>
        <v>41.56681444789438</v>
      </c>
    </row>
    <row r="90" spans="2:8" ht="22.5">
      <c r="B90" s="30" t="s">
        <v>107</v>
      </c>
      <c r="C90" s="82">
        <f>907242204</f>
        <v>907242204</v>
      </c>
      <c r="D90" s="83"/>
      <c r="E90" s="82">
        <f>158601120</f>
        <v>158601120</v>
      </c>
      <c r="F90" s="83"/>
      <c r="G90" s="84">
        <f>IF($E$88=0,"",100*$E90/$E$88)</f>
        <v>3.0658196032879537</v>
      </c>
      <c r="H90" s="80">
        <f t="shared" si="12"/>
        <v>17.481673504686295</v>
      </c>
    </row>
    <row r="91" spans="2:8" ht="12.75">
      <c r="B91" s="85" t="s">
        <v>108</v>
      </c>
      <c r="C91" s="82">
        <f>274867744.85</f>
        <v>274867744.85</v>
      </c>
      <c r="D91" s="83"/>
      <c r="E91" s="82">
        <f>186295297.64</f>
        <v>186295297.64</v>
      </c>
      <c r="F91" s="83"/>
      <c r="G91" s="84">
        <f>IF($E$88=0,"",100*$E91/$E$88)</f>
        <v>3.6011585258986574</v>
      </c>
      <c r="H91" s="80">
        <f t="shared" si="12"/>
        <v>67.7763401237437</v>
      </c>
    </row>
    <row r="92" spans="2:8" ht="12.75">
      <c r="B92" s="36" t="s">
        <v>33</v>
      </c>
      <c r="C92" s="47">
        <f>838536391.32</f>
        <v>838536391.32</v>
      </c>
      <c r="D92" s="50"/>
      <c r="E92" s="47">
        <f>972060401.61</f>
        <v>972060401.61</v>
      </c>
      <c r="F92" s="50"/>
      <c r="G92" s="58">
        <f>IF($E$88=0,"",100*$E92/$E$88)</f>
        <v>18.79029501705851</v>
      </c>
      <c r="H92" s="59">
        <f t="shared" si="12"/>
        <v>115.92346040936998</v>
      </c>
    </row>
    <row r="94" spans="2:8" ht="12.75">
      <c r="B94" s="41" t="s">
        <v>16</v>
      </c>
      <c r="C94" s="90" t="s">
        <v>17</v>
      </c>
      <c r="D94" s="89"/>
      <c r="E94" s="90" t="s">
        <v>1</v>
      </c>
      <c r="F94" s="89"/>
      <c r="G94" s="19" t="s">
        <v>26</v>
      </c>
      <c r="H94" s="19" t="s">
        <v>27</v>
      </c>
    </row>
    <row r="95" spans="2:8" ht="12.75">
      <c r="B95" s="41"/>
      <c r="C95" s="94" t="s">
        <v>81</v>
      </c>
      <c r="D95" s="95"/>
      <c r="E95" s="95"/>
      <c r="F95" s="96"/>
      <c r="G95" s="100" t="s">
        <v>4</v>
      </c>
      <c r="H95" s="101"/>
    </row>
    <row r="96" spans="2:8" ht="12.75">
      <c r="B96" s="39">
        <v>1</v>
      </c>
      <c r="C96" s="43">
        <v>2</v>
      </c>
      <c r="D96" s="44"/>
      <c r="E96" s="43">
        <v>3</v>
      </c>
      <c r="F96" s="44"/>
      <c r="G96" s="40">
        <v>4</v>
      </c>
      <c r="H96" s="40">
        <v>5</v>
      </c>
    </row>
    <row r="97" spans="2:8" ht="22.5">
      <c r="B97" s="57" t="s">
        <v>84</v>
      </c>
      <c r="C97" s="52">
        <f>23463317102.57</f>
        <v>23463317102.57</v>
      </c>
      <c r="D97" s="49"/>
      <c r="E97" s="52">
        <f>0</f>
        <v>0</v>
      </c>
      <c r="F97" s="46"/>
      <c r="G97" s="42"/>
      <c r="H97" s="34"/>
    </row>
    <row r="98" spans="2:8" ht="56.25">
      <c r="B98" s="51" t="s">
        <v>85</v>
      </c>
      <c r="C98" s="54">
        <f>264592299.95</f>
        <v>264592299.95</v>
      </c>
      <c r="D98" s="53"/>
      <c r="E98" s="54">
        <f>0</f>
        <v>0</v>
      </c>
      <c r="F98" s="53"/>
      <c r="G98" s="58"/>
      <c r="H98" s="59"/>
    </row>
    <row r="99" spans="2:8" ht="12.75">
      <c r="B99" s="51" t="s">
        <v>86</v>
      </c>
      <c r="C99" s="54">
        <f>13804792824.62</f>
        <v>13804792824.62</v>
      </c>
      <c r="D99" s="53"/>
      <c r="E99" s="54">
        <f>0</f>
        <v>0</v>
      </c>
      <c r="F99" s="53"/>
      <c r="G99" s="58"/>
      <c r="H99" s="59"/>
    </row>
    <row r="100" spans="2:8" ht="33.75">
      <c r="B100" s="51" t="s">
        <v>87</v>
      </c>
      <c r="C100" s="54">
        <f>0</f>
        <v>0</v>
      </c>
      <c r="D100" s="53"/>
      <c r="E100" s="54">
        <f>0</f>
        <v>0</v>
      </c>
      <c r="F100" s="53"/>
      <c r="G100" s="58"/>
      <c r="H100" s="59"/>
    </row>
    <row r="101" spans="2:8" ht="33.75">
      <c r="B101" s="51" t="s">
        <v>88</v>
      </c>
      <c r="C101" s="54">
        <f>1066961645.2</f>
        <v>1066961645.2</v>
      </c>
      <c r="D101" s="53"/>
      <c r="E101" s="54">
        <f>0</f>
        <v>0</v>
      </c>
      <c r="F101" s="53"/>
      <c r="G101" s="58"/>
      <c r="H101" s="59"/>
    </row>
    <row r="102" spans="2:8" ht="101.25">
      <c r="B102" s="51" t="s">
        <v>89</v>
      </c>
      <c r="C102" s="54">
        <f>8326970332.8</f>
        <v>8326970332.8</v>
      </c>
      <c r="D102" s="53"/>
      <c r="E102" s="54">
        <f>0</f>
        <v>0</v>
      </c>
      <c r="F102" s="53"/>
      <c r="G102" s="58"/>
      <c r="H102" s="59"/>
    </row>
    <row r="104" spans="2:6" ht="12.75">
      <c r="B104" s="41" t="s">
        <v>16</v>
      </c>
      <c r="C104" s="90" t="s">
        <v>111</v>
      </c>
      <c r="D104" s="88"/>
      <c r="E104" s="88"/>
      <c r="F104" s="89"/>
    </row>
    <row r="105" spans="2:6" ht="12.75">
      <c r="B105" s="41"/>
      <c r="C105" s="94" t="s">
        <v>81</v>
      </c>
      <c r="D105" s="95"/>
      <c r="E105" s="95"/>
      <c r="F105" s="96"/>
    </row>
    <row r="106" spans="2:6" ht="12.75">
      <c r="B106" s="39">
        <v>1</v>
      </c>
      <c r="C106" s="91">
        <v>2</v>
      </c>
      <c r="D106" s="92"/>
      <c r="E106" s="92"/>
      <c r="F106" s="93"/>
    </row>
    <row r="107" spans="2:6" ht="56.25">
      <c r="B107" s="57" t="s">
        <v>90</v>
      </c>
      <c r="C107" s="87">
        <f>800134191.39</f>
        <v>800134191.39</v>
      </c>
      <c r="D107" s="88"/>
      <c r="E107" s="88"/>
      <c r="F107" s="89"/>
    </row>
    <row r="108" spans="2:6" ht="45">
      <c r="B108" s="86" t="s">
        <v>91</v>
      </c>
      <c r="C108" s="87">
        <f>470386034.78</f>
        <v>470386034.78</v>
      </c>
      <c r="D108" s="88"/>
      <c r="E108" s="88"/>
      <c r="F108" s="89"/>
    </row>
    <row r="109" spans="2:6" ht="45">
      <c r="B109" s="86" t="s">
        <v>92</v>
      </c>
      <c r="C109" s="87">
        <f>174307001.53</f>
        <v>174307001.53</v>
      </c>
      <c r="D109" s="88"/>
      <c r="E109" s="88"/>
      <c r="F109" s="89"/>
    </row>
    <row r="110" spans="2:6" ht="78.75">
      <c r="B110" s="86" t="s">
        <v>93</v>
      </c>
      <c r="C110" s="87">
        <f>551245.92</f>
        <v>551245.92</v>
      </c>
      <c r="D110" s="88"/>
      <c r="E110" s="88"/>
      <c r="F110" s="89"/>
    </row>
    <row r="111" spans="2:6" ht="56.25">
      <c r="B111" s="86" t="s">
        <v>94</v>
      </c>
      <c r="C111" s="87">
        <f>130640760</f>
        <v>130640760</v>
      </c>
      <c r="D111" s="88"/>
      <c r="E111" s="88"/>
      <c r="F111" s="89"/>
    </row>
    <row r="112" spans="2:6" ht="56.25">
      <c r="B112" s="86" t="s">
        <v>95</v>
      </c>
      <c r="C112" s="87">
        <f>10435377.69</f>
        <v>10435377.69</v>
      </c>
      <c r="D112" s="88"/>
      <c r="E112" s="88"/>
      <c r="F112" s="89"/>
    </row>
    <row r="113" spans="2:6" ht="56.25">
      <c r="B113" s="86" t="s">
        <v>96</v>
      </c>
      <c r="C113" s="87">
        <f>0</f>
        <v>0</v>
      </c>
      <c r="D113" s="88"/>
      <c r="E113" s="88"/>
      <c r="F113" s="89"/>
    </row>
    <row r="114" spans="2:6" ht="112.5">
      <c r="B114" s="86" t="s">
        <v>109</v>
      </c>
      <c r="C114" s="87">
        <f>5137851.44</f>
        <v>5137851.44</v>
      </c>
      <c r="D114" s="88"/>
      <c r="E114" s="88"/>
      <c r="F114" s="89"/>
    </row>
    <row r="115" spans="2:6" ht="112.5">
      <c r="B115" s="86" t="s">
        <v>110</v>
      </c>
      <c r="C115" s="87">
        <f>3801172.87</f>
        <v>3801172.87</v>
      </c>
      <c r="D115" s="88"/>
      <c r="E115" s="88"/>
      <c r="F115" s="89"/>
    </row>
  </sheetData>
  <sheetProtection/>
  <mergeCells count="54">
    <mergeCell ref="I58:J58"/>
    <mergeCell ref="I75:J75"/>
    <mergeCell ref="I67:J67"/>
    <mergeCell ref="I65:J65"/>
    <mergeCell ref="I66:J66"/>
    <mergeCell ref="I68:J68"/>
    <mergeCell ref="I69:J69"/>
    <mergeCell ref="I73:J73"/>
    <mergeCell ref="I74:J74"/>
    <mergeCell ref="I63:J63"/>
    <mergeCell ref="I64:J64"/>
    <mergeCell ref="I59:J59"/>
    <mergeCell ref="I60:J60"/>
    <mergeCell ref="I61:J61"/>
    <mergeCell ref="I62:J62"/>
    <mergeCell ref="B1:M1"/>
    <mergeCell ref="B3:B4"/>
    <mergeCell ref="K4:M4"/>
    <mergeCell ref="C4:J4"/>
    <mergeCell ref="B52:M52"/>
    <mergeCell ref="B76:M76"/>
    <mergeCell ref="I54:J56"/>
    <mergeCell ref="D54:D56"/>
    <mergeCell ref="E54:E56"/>
    <mergeCell ref="F55:F56"/>
    <mergeCell ref="F54:H54"/>
    <mergeCell ref="G55:H55"/>
    <mergeCell ref="L54:L56"/>
    <mergeCell ref="I70:J70"/>
    <mergeCell ref="C57:J57"/>
    <mergeCell ref="C54:C56"/>
    <mergeCell ref="B54:B57"/>
    <mergeCell ref="K54:K56"/>
    <mergeCell ref="K57:L57"/>
    <mergeCell ref="G78:H78"/>
    <mergeCell ref="C105:F105"/>
    <mergeCell ref="C94:D94"/>
    <mergeCell ref="E94:F94"/>
    <mergeCell ref="C95:F95"/>
    <mergeCell ref="G95:H95"/>
    <mergeCell ref="C104:F104"/>
    <mergeCell ref="C106:F106"/>
    <mergeCell ref="C107:F107"/>
    <mergeCell ref="C77:D77"/>
    <mergeCell ref="E77:F77"/>
    <mergeCell ref="C78:F78"/>
    <mergeCell ref="C112:F112"/>
    <mergeCell ref="C113:F113"/>
    <mergeCell ref="C114:F114"/>
    <mergeCell ref="C115:F115"/>
    <mergeCell ref="C111:F111"/>
    <mergeCell ref="C108:F108"/>
    <mergeCell ref="C109:F109"/>
    <mergeCell ref="C110:F11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4" manualBreakCount="4">
    <brk id="21" max="255" man="1"/>
    <brk id="51" max="255" man="1"/>
    <brk id="75" max="12" man="1"/>
    <brk id="10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2019-08-23T12:56:40Z</dcterms:modified>
  <cp:category/>
  <cp:version/>
  <cp:contentType/>
  <cp:contentStatus/>
</cp:coreProperties>
</file>